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ev\AM-ORBIT\.tmp-audit\bai\mau-timeline-su-kien\bo-tai\out\"/>
    </mc:Choice>
  </mc:AlternateContent>
  <xr:revisionPtr revIDLastSave="0" documentId="13_ncr:1_{9A5B4F33-B41B-4770-BFCC-9B2059BDF6D7}" xr6:coauthVersionLast="47" xr6:coauthVersionMax="47" xr10:uidLastSave="{00000000-0000-0000-0000-000000000000}"/>
  <bookViews>
    <workbookView xWindow="0" yWindow="0" windowWidth="24000" windowHeight="13680" xr2:uid="{00000000-000D-0000-FFFF-FFFF00000000}"/>
  </bookViews>
  <sheets>
    <sheet name="0. Bắt đầu" sheetId="1" r:id="rId1"/>
    <sheet name="1. Lịch theo tuần" sheetId="2" r:id="rId2"/>
    <sheet name="2. Run sheet" sheetId="3" r:id="rId3"/>
    <sheet name="Danh mục" sheetId="4" r:id="rId4"/>
  </sheets>
  <definedNames>
    <definedName name="_xlnm._FilterDatabase" localSheetId="1" hidden="1">'1. Lịch theo tuần'!$A$6:$J$66</definedName>
    <definedName name="_xlnm._FilterDatabase" localSheetId="2" hidden="1">'2. Run sheet'!$A$6:$J$46</definedName>
    <definedName name="DA_THAY">'0. Bắt đầu'!$D$17</definedName>
    <definedName name="DS_KHOI">'Danh mục'!$D$5:$D$14</definedName>
    <definedName name="DS_LOAI">'Danh mục'!$F$5:$F$12</definedName>
    <definedName name="DS_NGUOI">'Danh mục'!$C$5:$C$16</definedName>
    <definedName name="DS_NHOM">'Danh mục'!$A$5:$A$14</definedName>
    <definedName name="DS_TT">'Danh mục'!$E$5:$E$8</definedName>
    <definedName name="DS_TUAN">'Danh mục'!$G$5:$G$11</definedName>
    <definedName name="GIO_BAT_DAU">'0. Bắt đầu'!$D$14</definedName>
    <definedName name="GIO_TRA_SANH">'0. Bắt đầu'!$D$15</definedName>
    <definedName name="NGAY_SU_KIEN">'0. Bắt đầu'!$D$13</definedName>
    <definedName name="NGAY_XEM">'0. Bắt đầu'!$L$16</definedName>
    <definedName name="_xlnm.Print_Area" localSheetId="0">'0. Bắt đầu'!$A$8:$J$45</definedName>
    <definedName name="_xlnm.Print_Area" localSheetId="1">OFFSET('1. Lịch theo tuần'!$A$2,0,0,MAX(26,SUMPRODUCT(MAX(('1. Lịch theo tuần'!$C$7:$C$66&lt;&gt;"")*ROW('1. Lịch theo tuần'!$C$7:$C$66))))-1,18)</definedName>
    <definedName name="_xlnm.Print_Area" localSheetId="2">OFFSET('2. Run sheet'!$A$2,0,0,MAX(20,SUMPRODUCT(MAX(('2. Run sheet'!$G$7:$G$46&lt;&gt;"")*ROW('2. Run sheet'!$G$7:$G$46))))-1,10)</definedName>
    <definedName name="_xlnm.Print_Area" localSheetId="3">'Danh mục'!$A$2:$G$18</definedName>
    <definedName name="_xlnm.Print_Titles" localSheetId="1">'1. Lịch theo tuần'!$A:$C,'1. Lịch theo tuần'!$5:$6</definedName>
    <definedName name="_xlnm.Print_Titles" localSheetId="2">'2. Run sheet'!$6:$6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6" i="3" l="1"/>
  <c r="B46" i="3"/>
  <c r="C46" i="3" s="1"/>
  <c r="A46" i="3"/>
  <c r="F45" i="3"/>
  <c r="B45" i="3"/>
  <c r="C45" i="3" s="1"/>
  <c r="A45" i="3"/>
  <c r="F44" i="3"/>
  <c r="B44" i="3"/>
  <c r="C44" i="3" s="1"/>
  <c r="A44" i="3"/>
  <c r="F43" i="3"/>
  <c r="B43" i="3"/>
  <c r="C43" i="3" s="1"/>
  <c r="A43" i="3"/>
  <c r="F42" i="3"/>
  <c r="B42" i="3"/>
  <c r="C42" i="3" s="1"/>
  <c r="A42" i="3"/>
  <c r="F41" i="3"/>
  <c r="B41" i="3"/>
  <c r="C41" i="3" s="1"/>
  <c r="A41" i="3"/>
  <c r="F40" i="3"/>
  <c r="B40" i="3"/>
  <c r="C40" i="3" s="1"/>
  <c r="A40" i="3"/>
  <c r="F39" i="3"/>
  <c r="B39" i="3"/>
  <c r="C39" i="3" s="1"/>
  <c r="A39" i="3"/>
  <c r="F38" i="3"/>
  <c r="B38" i="3"/>
  <c r="C38" i="3" s="1"/>
  <c r="A38" i="3"/>
  <c r="F37" i="3"/>
  <c r="B37" i="3"/>
  <c r="C37" i="3" s="1"/>
  <c r="A37" i="3"/>
  <c r="F36" i="3"/>
  <c r="B36" i="3"/>
  <c r="C36" i="3" s="1"/>
  <c r="A36" i="3"/>
  <c r="F35" i="3"/>
  <c r="B35" i="3"/>
  <c r="C35" i="3" s="1"/>
  <c r="A35" i="3"/>
  <c r="F34" i="3"/>
  <c r="B34" i="3"/>
  <c r="C34" i="3" s="1"/>
  <c r="A34" i="3"/>
  <c r="F33" i="3"/>
  <c r="B33" i="3"/>
  <c r="C33" i="3" s="1"/>
  <c r="A33" i="3"/>
  <c r="F32" i="3"/>
  <c r="B32" i="3"/>
  <c r="C32" i="3" s="1"/>
  <c r="A32" i="3"/>
  <c r="F31" i="3"/>
  <c r="B31" i="3"/>
  <c r="C31" i="3" s="1"/>
  <c r="A31" i="3"/>
  <c r="F30" i="3"/>
  <c r="B30" i="3"/>
  <c r="C30" i="3" s="1"/>
  <c r="A30" i="3"/>
  <c r="F29" i="3"/>
  <c r="B29" i="3"/>
  <c r="C29" i="3" s="1"/>
  <c r="A29" i="3"/>
  <c r="F28" i="3"/>
  <c r="B28" i="3"/>
  <c r="C28" i="3" s="1"/>
  <c r="A28" i="3"/>
  <c r="F27" i="3"/>
  <c r="B27" i="3"/>
  <c r="C27" i="3" s="1"/>
  <c r="A27" i="3"/>
  <c r="F26" i="3"/>
  <c r="B26" i="3"/>
  <c r="C26" i="3" s="1"/>
  <c r="A26" i="3"/>
  <c r="F25" i="3"/>
  <c r="B25" i="3"/>
  <c r="C25" i="3" s="1"/>
  <c r="A25" i="3"/>
  <c r="F24" i="3"/>
  <c r="B24" i="3"/>
  <c r="C24" i="3" s="1"/>
  <c r="A24" i="3"/>
  <c r="F23" i="3"/>
  <c r="B23" i="3"/>
  <c r="C23" i="3" s="1"/>
  <c r="A23" i="3"/>
  <c r="F22" i="3"/>
  <c r="B22" i="3"/>
  <c r="C22" i="3" s="1"/>
  <c r="A22" i="3"/>
  <c r="F21" i="3"/>
  <c r="B21" i="3"/>
  <c r="C21" i="3" s="1"/>
  <c r="A21" i="3"/>
  <c r="F20" i="3"/>
  <c r="A20" i="3"/>
  <c r="F19" i="3"/>
  <c r="A19" i="3"/>
  <c r="F18" i="3"/>
  <c r="A18" i="3"/>
  <c r="F17" i="3"/>
  <c r="A17" i="3"/>
  <c r="B16" i="3"/>
  <c r="C16" i="3" s="1"/>
  <c r="A16" i="3"/>
  <c r="F15" i="3"/>
  <c r="A15" i="3"/>
  <c r="F14" i="3"/>
  <c r="A14" i="3"/>
  <c r="F13" i="3"/>
  <c r="A13" i="3"/>
  <c r="B12" i="3"/>
  <c r="C12" i="3" s="1"/>
  <c r="A12" i="3"/>
  <c r="F11" i="3"/>
  <c r="A11" i="3"/>
  <c r="F10" i="3"/>
  <c r="A10" i="3"/>
  <c r="F9" i="3"/>
  <c r="A9" i="3"/>
  <c r="F8" i="3"/>
  <c r="A8" i="3"/>
  <c r="F7" i="3"/>
  <c r="B7" i="3"/>
  <c r="C7" i="3" s="1"/>
  <c r="A7" i="3"/>
  <c r="J4" i="3"/>
  <c r="E4" i="3"/>
  <c r="C4" i="3"/>
  <c r="A4" i="3"/>
  <c r="F66" i="2"/>
  <c r="I66" i="2" s="1"/>
  <c r="A66" i="2"/>
  <c r="F65" i="2"/>
  <c r="G65" i="2" s="1"/>
  <c r="A65" i="2"/>
  <c r="F64" i="2"/>
  <c r="G64" i="2" s="1"/>
  <c r="A64" i="2"/>
  <c r="F63" i="2"/>
  <c r="I63" i="2" s="1"/>
  <c r="A63" i="2"/>
  <c r="F62" i="2"/>
  <c r="I62" i="2" s="1"/>
  <c r="A62" i="2"/>
  <c r="F61" i="2"/>
  <c r="I61" i="2" s="1"/>
  <c r="A61" i="2"/>
  <c r="F60" i="2"/>
  <c r="G60" i="2" s="1"/>
  <c r="A60" i="2"/>
  <c r="F59" i="2"/>
  <c r="I59" i="2" s="1"/>
  <c r="A59" i="2"/>
  <c r="F58" i="2"/>
  <c r="G58" i="2" s="1"/>
  <c r="A58" i="2"/>
  <c r="F57" i="2"/>
  <c r="I57" i="2" s="1"/>
  <c r="A57" i="2"/>
  <c r="F56" i="2"/>
  <c r="I56" i="2" s="1"/>
  <c r="A56" i="2"/>
  <c r="F55" i="2"/>
  <c r="I55" i="2" s="1"/>
  <c r="A55" i="2"/>
  <c r="F54" i="2"/>
  <c r="I54" i="2" s="1"/>
  <c r="A54" i="2"/>
  <c r="F53" i="2"/>
  <c r="G53" i="2" s="1"/>
  <c r="A53" i="2"/>
  <c r="F52" i="2"/>
  <c r="I52" i="2" s="1"/>
  <c r="A52" i="2"/>
  <c r="F51" i="2"/>
  <c r="I51" i="2" s="1"/>
  <c r="A51" i="2"/>
  <c r="F50" i="2"/>
  <c r="I50" i="2" s="1"/>
  <c r="A50" i="2"/>
  <c r="F49" i="2"/>
  <c r="I49" i="2" s="1"/>
  <c r="A49" i="2"/>
  <c r="F48" i="2"/>
  <c r="I48" i="2" s="1"/>
  <c r="A48" i="2"/>
  <c r="F47" i="2"/>
  <c r="G47" i="2" s="1"/>
  <c r="A47" i="2"/>
  <c r="F46" i="2"/>
  <c r="G46" i="2" s="1"/>
  <c r="A46" i="2"/>
  <c r="F45" i="2"/>
  <c r="I45" i="2" s="1"/>
  <c r="A45" i="2"/>
  <c r="F44" i="2"/>
  <c r="I44" i="2" s="1"/>
  <c r="A44" i="2"/>
  <c r="F43" i="2"/>
  <c r="I43" i="2" s="1"/>
  <c r="A43" i="2"/>
  <c r="F42" i="2"/>
  <c r="G42" i="2" s="1"/>
  <c r="A42" i="2"/>
  <c r="F41" i="2"/>
  <c r="I41" i="2" s="1"/>
  <c r="A41" i="2"/>
  <c r="F40" i="2"/>
  <c r="G40" i="2" s="1"/>
  <c r="A40" i="2"/>
  <c r="F39" i="2"/>
  <c r="I39" i="2" s="1"/>
  <c r="A39" i="2"/>
  <c r="F38" i="2"/>
  <c r="I38" i="2" s="1"/>
  <c r="A38" i="2"/>
  <c r="F37" i="2"/>
  <c r="I37" i="2" s="1"/>
  <c r="A37" i="2"/>
  <c r="F36" i="2"/>
  <c r="I36" i="2" s="1"/>
  <c r="A36" i="2"/>
  <c r="F35" i="2"/>
  <c r="I35" i="2" s="1"/>
  <c r="A35" i="2"/>
  <c r="F34" i="2"/>
  <c r="G34" i="2" s="1"/>
  <c r="A34" i="2"/>
  <c r="F33" i="2"/>
  <c r="I33" i="2" s="1"/>
  <c r="A33" i="2"/>
  <c r="F32" i="2"/>
  <c r="I32" i="2" s="1"/>
  <c r="A32" i="2"/>
  <c r="F31" i="2"/>
  <c r="I31" i="2" s="1"/>
  <c r="A31" i="2"/>
  <c r="F30" i="2"/>
  <c r="G30" i="2" s="1"/>
  <c r="A30" i="2"/>
  <c r="F29" i="2"/>
  <c r="I29" i="2" s="1"/>
  <c r="A29" i="2"/>
  <c r="F28" i="2"/>
  <c r="G28" i="2" s="1"/>
  <c r="A28" i="2"/>
  <c r="F27" i="2"/>
  <c r="I27" i="2" s="1"/>
  <c r="A27" i="2"/>
  <c r="F26" i="2"/>
  <c r="I26" i="2" s="1"/>
  <c r="A26" i="2"/>
  <c r="F25" i="2"/>
  <c r="I25" i="2" s="1"/>
  <c r="A25" i="2"/>
  <c r="F24" i="2"/>
  <c r="G24" i="2" s="1"/>
  <c r="A24" i="2"/>
  <c r="F23" i="2"/>
  <c r="G23" i="2" s="1"/>
  <c r="A23" i="2"/>
  <c r="F22" i="2"/>
  <c r="G22" i="2" s="1"/>
  <c r="A22" i="2"/>
  <c r="F21" i="2"/>
  <c r="A21" i="2"/>
  <c r="F20" i="2"/>
  <c r="A20" i="2"/>
  <c r="F19" i="2"/>
  <c r="A19" i="2"/>
  <c r="F18" i="2"/>
  <c r="G18" i="2" s="1"/>
  <c r="A18" i="2"/>
  <c r="F17" i="2"/>
  <c r="A17" i="2"/>
  <c r="F16" i="2"/>
  <c r="G16" i="2" s="1"/>
  <c r="A16" i="2"/>
  <c r="F15" i="2"/>
  <c r="A15" i="2"/>
  <c r="F14" i="2"/>
  <c r="A14" i="2"/>
  <c r="F13" i="2"/>
  <c r="I13" i="2" s="1"/>
  <c r="A13" i="2"/>
  <c r="F12" i="2"/>
  <c r="A12" i="2"/>
  <c r="F11" i="2"/>
  <c r="I11" i="2" s="1"/>
  <c r="A11" i="2"/>
  <c r="F10" i="2"/>
  <c r="I10" i="2" s="1"/>
  <c r="A10" i="2"/>
  <c r="F9" i="2"/>
  <c r="I9" i="2" s="1"/>
  <c r="A9" i="2"/>
  <c r="F8" i="2"/>
  <c r="I8" i="2" s="1"/>
  <c r="A8" i="2"/>
  <c r="F7" i="2"/>
  <c r="I7" i="2" s="1"/>
  <c r="A7" i="2"/>
  <c r="R6" i="2"/>
  <c r="Q6" i="2"/>
  <c r="P6" i="2"/>
  <c r="O6" i="2"/>
  <c r="N6" i="2"/>
  <c r="M6" i="2"/>
  <c r="L6" i="2"/>
  <c r="R5" i="2"/>
  <c r="Q5" i="2"/>
  <c r="P5" i="2"/>
  <c r="O5" i="2"/>
  <c r="N5" i="2"/>
  <c r="M5" i="2"/>
  <c r="L5" i="2"/>
  <c r="B58" i="1"/>
  <c r="B57" i="1"/>
  <c r="C57" i="1" s="1"/>
  <c r="B56" i="1"/>
  <c r="C56" i="1" s="1"/>
  <c r="D56" i="1" s="1"/>
  <c r="B55" i="1"/>
  <c r="C55" i="1" s="1"/>
  <c r="D55" i="1" s="1"/>
  <c r="B54" i="1"/>
  <c r="C54" i="1" s="1"/>
  <c r="B53" i="1"/>
  <c r="B52" i="1"/>
  <c r="B51" i="1"/>
  <c r="C51" i="1" s="1"/>
  <c r="B50" i="1"/>
  <c r="C50" i="1" s="1"/>
  <c r="B49" i="1"/>
  <c r="H25" i="1"/>
  <c r="D25" i="1"/>
  <c r="F24" i="1"/>
  <c r="D21" i="1"/>
  <c r="D20" i="1"/>
  <c r="L16" i="1"/>
  <c r="B21" i="1" s="1"/>
  <c r="I42" i="2" l="1"/>
  <c r="I12" i="2"/>
  <c r="G12" i="2"/>
  <c r="G66" i="2"/>
  <c r="I60" i="2"/>
  <c r="I30" i="2"/>
  <c r="G54" i="2"/>
  <c r="G36" i="2"/>
  <c r="G37" i="2"/>
  <c r="G48" i="2"/>
  <c r="A3" i="2"/>
  <c r="I24" i="2"/>
  <c r="H24" i="1"/>
  <c r="I15" i="2"/>
  <c r="I17" i="2"/>
  <c r="I14" i="2"/>
  <c r="I18" i="2"/>
  <c r="I19" i="2"/>
  <c r="I20" i="2"/>
  <c r="I21" i="2"/>
  <c r="G19" i="2"/>
  <c r="G49" i="2"/>
  <c r="B8" i="3"/>
  <c r="C8" i="3" s="1"/>
  <c r="G31" i="2"/>
  <c r="C49" i="1"/>
  <c r="D49" i="1" s="1"/>
  <c r="G43" i="2"/>
  <c r="G7" i="2"/>
  <c r="G55" i="2"/>
  <c r="G13" i="2"/>
  <c r="G61" i="2"/>
  <c r="G25" i="2"/>
  <c r="D57" i="1"/>
  <c r="G14" i="2"/>
  <c r="G32" i="2"/>
  <c r="G50" i="2"/>
  <c r="D50" i="1"/>
  <c r="G9" i="2"/>
  <c r="G39" i="2"/>
  <c r="D51" i="1"/>
  <c r="C52" i="1"/>
  <c r="D52" i="1" s="1"/>
  <c r="B20" i="1"/>
  <c r="I16" i="2"/>
  <c r="I22" i="2"/>
  <c r="I28" i="2"/>
  <c r="I34" i="2"/>
  <c r="I40" i="2"/>
  <c r="I46" i="2"/>
  <c r="I58" i="2"/>
  <c r="I64" i="2"/>
  <c r="C53" i="1"/>
  <c r="D53" i="1" s="1"/>
  <c r="G11" i="2"/>
  <c r="G17" i="2"/>
  <c r="G29" i="2"/>
  <c r="G41" i="2"/>
  <c r="G59" i="2"/>
  <c r="I23" i="2"/>
  <c r="I47" i="2"/>
  <c r="I53" i="2"/>
  <c r="I65" i="2"/>
  <c r="D54" i="1"/>
  <c r="G8" i="2"/>
  <c r="G20" i="2"/>
  <c r="G26" i="2"/>
  <c r="G38" i="2"/>
  <c r="G44" i="2"/>
  <c r="G56" i="2"/>
  <c r="G62" i="2"/>
  <c r="C58" i="1"/>
  <c r="D58" i="1" s="1"/>
  <c r="G15" i="2"/>
  <c r="G21" i="2"/>
  <c r="G27" i="2"/>
  <c r="G33" i="2"/>
  <c r="G45" i="2"/>
  <c r="G51" i="2"/>
  <c r="G57" i="2"/>
  <c r="G63" i="2"/>
  <c r="G10" i="2"/>
  <c r="G52" i="2"/>
  <c r="G35" i="2"/>
  <c r="H20" i="1" l="1"/>
  <c r="F20" i="1"/>
  <c r="B9" i="3"/>
  <c r="C9" i="3" s="1"/>
  <c r="B10" i="3" l="1"/>
  <c r="C10" i="3" s="1"/>
  <c r="B11" i="3" s="1"/>
  <c r="C11" i="3" s="1"/>
  <c r="F12" i="3" l="1"/>
  <c r="B13" i="3"/>
  <c r="C13" i="3" s="1"/>
  <c r="B14" i="3" l="1"/>
  <c r="C14" i="3" s="1"/>
  <c r="B15" i="3" s="1"/>
  <c r="C15" i="3" s="1"/>
  <c r="B17" i="3" l="1"/>
  <c r="C17" i="3" s="1"/>
  <c r="B18" i="3" s="1"/>
  <c r="C18" i="3" s="1"/>
  <c r="F16" i="3"/>
  <c r="B19" i="3" l="1"/>
  <c r="C19" i="3" s="1"/>
  <c r="B20" i="3" s="1"/>
  <c r="C20" i="3" s="1"/>
  <c r="H4" i="3" l="1"/>
  <c r="G4" i="3"/>
  <c r="D24" i="1"/>
  <c r="B24" i="1"/>
</calcChain>
</file>

<file path=xl/sharedStrings.xml><?xml version="1.0" encoding="utf-8"?>
<sst xmlns="http://schemas.openxmlformats.org/spreadsheetml/2006/main" count="406" uniqueCount="168">
  <si>
    <t>Ví dụ hư cấu: khai trương cửa hàng thời trang Y ở mặt phố, 80 khách, sáng thứ Bảy 12/12/2026, chuẩn bị 4 tuần. Nhập đè thông tin của bạn.</t>
  </si>
  <si>
    <t>Dùng trong 3 bước</t>
  </si>
  <si>
    <t>Bước 1. Nhập đè 6 ô nền cam nhạt ở bảng Thông tin sự kiện bên dưới, và xóa ô Ngày xem tiến độ để file tính theo ngày hôm nay. Sửa tên người phụ trách, nhóm việc ở sheet Danh mục trước khi nhập; dòng đã chọn tên cũ không tự đổi, bạn chọn lại tên mới ở các dòng đó.</t>
  </si>
  <si>
    <t>Bước 2. Ở sheet 1. Lịch theo tuần và sheet 2. Run sheet, nhập đè các ô nền cam nhạt (đang là ví dụ); ô đã thay về nền vàng. Việc mới nhập vào dòng trống có sẵn: sheet 1 kéo sẵn công thức 60 dòng, sheet 2 40 dòng. Thay xong thì chọn «Rồi» ở ô Đã thay hết ví dụ? để tắt hết nền cam.</t>
  </si>
  <si>
    <t>Bước 3. Quay lại đây xem số và biểu đồ. Bấm Ctrl+P để in, file đã đặt khổ A4 ngang.</t>
  </si>
  <si>
    <t>Cần thêm dòng: Review &gt; Unprotect Sheet (không mật khẩu), bấm số dòng phía trên để chọn cả dòng, Copy, chuột phải vào số dòng bên dưới &gt; Insert Copied Cells, rồi nhập đè nội dung mới. Ô công thức có khóa, không mật khẩu, để khỏi xóa nhầm.</t>
  </si>
  <si>
    <t>Mẫu timeline sự kiện – bản gọn theo tuần</t>
  </si>
  <si>
    <t>Lịch chuẩn bị tự lùi theo ngày diễn ra, lịch theo tuần, run sheet tự cộng giờ theo thời lượng.</t>
  </si>
  <si>
    <t>Thông tin sự kiện (nhập đè 6 ô nền cam nhạt)</t>
  </si>
  <si>
    <t>Tên sự kiện</t>
  </si>
  <si>
    <t>Khai trương cửa hàng thời trang Y</t>
  </si>
  <si>
    <t>Tên ngắn để in trên đầu các trang.</t>
  </si>
  <si>
    <t>Loại sự kiện</t>
  </si>
  <si>
    <t>Khai trương</t>
  </si>
  <si>
    <t>Chọn trong danh sách (sửa ở sheet Danh mục).</t>
  </si>
  <si>
    <t>Ngày diễn ra</t>
  </si>
  <si>
    <t>Đổi ngày này là cả lịch chuẩn bị dời theo.</t>
  </si>
  <si>
    <t>Giờ bắt đầu dòng đầu run sheet</t>
  </si>
  <si>
    <t>Thường là giờ kỹ thuật vào kiểm, nhập dạng 06:30.</t>
  </si>
  <si>
    <t>Giờ phải xong, trả mặt bằng</t>
  </si>
  <si>
    <t>Run sheet báo dư hay thiếu bao nhiêu phút so với giờ này.</t>
  </si>
  <si>
    <t>Ngày xem tiến độ</t>
  </si>
  <si>
    <t>Ô ví dụ: xóa ô này để file dùng ngày hôm nay (TODAY).</t>
  </si>
  <si>
    <t>Đã thay hết ví dụ?</t>
  </si>
  <si>
    <t>Chưa</t>
  </si>
  <si>
    <t>Chọn Rồi khi đã thay xong: tắt hết nền cam, ô đếm về 0.</t>
  </si>
  <si>
    <t>Kết quả tự tính</t>
  </si>
  <si>
    <t>Còn bao nhiêu ngày tới sự kiện</t>
  </si>
  <si>
    <t>Việc đã xong</t>
  </si>
  <si>
    <t>Việc trễ hạn</t>
  </si>
  <si>
    <t>Đến hạn trong 7 ngày tới</t>
  </si>
  <si>
    <t>chưa Xong mà đã quá hạn</t>
  </si>
  <si>
    <t>chưa Xong, nhắc ngay</t>
  </si>
  <si>
    <t>Chương trình chạy</t>
  </si>
  <si>
    <t>So với giờ phải xong</t>
  </si>
  <si>
    <t>Ô còn là ví dụ</t>
  </si>
  <si>
    <t>giờ đầu và giờ cuối ở run sheet</t>
  </si>
  <si>
    <t>ô nền cam chưa thay</t>
  </si>
  <si>
    <t>Biểu đồ (tự vẽ lại khi số ở sheet 1, 2 đổi)</t>
  </si>
  <si>
    <t>Số liệu cho biểu đồ (tự tính, không cần sửa)</t>
  </si>
  <si>
    <t>Nhóm việc</t>
  </si>
  <si>
    <t>Xong</t>
  </si>
  <si>
    <t>Chưa xong</t>
  </si>
  <si>
    <t>Ví dụ hư cấu: khai trương cửa hàng thời trang Y ở mặt phố, 80 khách, sáng thứ Bảy 12/12/2026, chuẩn bị 4 tuần. Nhập đè thông tin của bạn. Chọn tuần cho mỗi việc, file tự ra hạn (thứ Sáu của tuần đó; tuần diễn ra là đúng ngày diễn ra). Việc mới nhập vào dòng trống có sẵn (60 dòng). Cần thêm dòng: Review &gt; Unprotect Sheet (không mật khẩu), bấm số dòng phía trên để chọn cả dòng, Copy, chuột phải vào số dòng bên dưới &gt; Insert Copied Cells, rồi nhập đè nội dung mới.</t>
  </si>
  <si>
    <t>Lịch chuẩn bị theo tuần</t>
  </si>
  <si>
    <t>Ô tuần mang màu nhóm việc; đỏ: trễ hạn; xám xanh: Xong; cột đỏ nhạt: tuần diễn ra; viền cam: tuần đang xem.</t>
  </si>
  <si>
    <t>chọn tuần</t>
  </si>
  <si>
    <t>tự tính</t>
  </si>
  <si>
    <t>STT</t>
  </si>
  <si>
    <t>Việc</t>
  </si>
  <si>
    <t>Người phụ trách</t>
  </si>
  <si>
    <t>Tuần</t>
  </si>
  <si>
    <t>Hạn xong</t>
  </si>
  <si>
    <t>Thứ</t>
  </si>
  <si>
    <t>Trạng thái</t>
  </si>
  <si>
    <t>Cảnh báo</t>
  </si>
  <si>
    <t>Ghi chú</t>
  </si>
  <si>
    <t>Brief và hợp đồng</t>
  </si>
  <si>
    <t>Chốt ngày, ngân sách, số khách</t>
  </si>
  <si>
    <t>Trưởng dự án</t>
  </si>
  <si>
    <t>Tuần -4</t>
  </si>
  <si>
    <t>Địa điểm</t>
  </si>
  <si>
    <t>Xin phép dùng vỉa hè, báo ban quản lý</t>
  </si>
  <si>
    <t>Điều phối</t>
  </si>
  <si>
    <t>Concept và thiết kế</t>
  </si>
  <si>
    <t>Chốt concept, màu, backdrop</t>
  </si>
  <si>
    <t>Thiết kế</t>
  </si>
  <si>
    <t>Khách mời</t>
  </si>
  <si>
    <t>Lập danh sách khách mời</t>
  </si>
  <si>
    <t>Truyền thông</t>
  </si>
  <si>
    <t>Tuần -3</t>
  </si>
  <si>
    <t>Gửi thiết kế backdrop, thiệp mời</t>
  </si>
  <si>
    <t>Duyệt thiết kế</t>
  </si>
  <si>
    <t>Chờ duyệt</t>
  </si>
  <si>
    <t>Dòng duyệt riêng</t>
  </si>
  <si>
    <t>Kịch bản và MC</t>
  </si>
  <si>
    <t>Chọn MC, tiết mục mở màn</t>
  </si>
  <si>
    <t>Sản xuất và in ấn</t>
  </si>
  <si>
    <t>In thiệp mời, backdrop, standee</t>
  </si>
  <si>
    <t>Sản xuất</t>
  </si>
  <si>
    <t>Tuần -2</t>
  </si>
  <si>
    <t>Đang làm</t>
  </si>
  <si>
    <t>Gửi thiệp mời, nhận xác nhận</t>
  </si>
  <si>
    <t>Chưa làm</t>
  </si>
  <si>
    <t>Đăng bài báo trước ngày khai trương</t>
  </si>
  <si>
    <t>Hậu cần và vận chuyển</t>
  </si>
  <si>
    <t>Đặt âm thanh, sân khấu, cổng bóng</t>
  </si>
  <si>
    <t>Hậu cần</t>
  </si>
  <si>
    <t>Viết kịch bản MC, chốt run sheet</t>
  </si>
  <si>
    <t>Tuần -1</t>
  </si>
  <si>
    <t>Chuẩn bị quà, phiếu bốc thăm</t>
  </si>
  <si>
    <t>Nhân sự và đào tạo</t>
  </si>
  <si>
    <t>Training nhân viên bán hàng, lễ tân</t>
  </si>
  <si>
    <t>Nhân sự</t>
  </si>
  <si>
    <t>Gọi nhắc khách</t>
  </si>
  <si>
    <t>Lễ tân</t>
  </si>
  <si>
    <t>Diễn ra và sau sự kiện</t>
  </si>
  <si>
    <t>Setup, tổng duyệt, chạy chương trình</t>
  </si>
  <si>
    <t>Tuần diễn ra</t>
  </si>
  <si>
    <t>Thu dọn, trả mặt bằng</t>
  </si>
  <si>
    <t>Gửi ảnh, cảm ơn khách, tổng kết</t>
  </si>
  <si>
    <t>Sau sự kiện</t>
  </si>
  <si>
    <t>Ví dụ hư cấu: khai trương cửa hàng thời trang Y ở mặt phố, 80 khách, sáng thứ Bảy 12/12/2026, chuẩn bị 4 tuần. Nhập đè thông tin của bạn. Nhập Thời lượng (phút); giờ Bắt đầu, Kết thúc tự tính. Mục có giờ cố định ghi vào Mốc cứng. Cần thêm dòng: Review &gt; Unprotect Sheet (không mật khẩu), bấm số dòng phía trên để chọn cả dòng, Copy, chuột phải vào số dòng bên dưới &gt; Insert Copied Cells, rồi nhập đè nội dung mới.</t>
  </si>
  <si>
    <t>Run sheet ngày khai trương</t>
  </si>
  <si>
    <t>Giờ bắt đầu</t>
  </si>
  <si>
    <t>Giờ phải xong</t>
  </si>
  <si>
    <t>Kết thúc dự kiến</t>
  </si>
  <si>
    <t>Dòng chưa có người phụ trách</t>
  </si>
  <si>
    <t>Bắt đầu</t>
  </si>
  <si>
    <t>Kết thúc</t>
  </si>
  <si>
    <t>Thời lượng (phút)</t>
  </si>
  <si>
    <t>Mốc cứng</t>
  </si>
  <si>
    <t>Lệch mốc</t>
  </si>
  <si>
    <t>Mục</t>
  </si>
  <si>
    <t>Âm thanh, nhạc</t>
  </si>
  <si>
    <t>Setup sân khấu, backdrop, cổng bóng</t>
  </si>
  <si>
    <t>Khối setup</t>
  </si>
  <si>
    <t>Kiểm âm thanh, nhạc, micro</t>
  </si>
  <si>
    <t>Kỹ thuật</t>
  </si>
  <si>
    <t>Test micro, nhạc nền</t>
  </si>
  <si>
    <t>Tổng duyệt với MC và kỹ thuật</t>
  </si>
  <si>
    <t>Chạy nhạc từng phần</t>
  </si>
  <si>
    <t>Một giờ trước khi đón khách</t>
  </si>
  <si>
    <t>Briefing nhân sự, vào vị trí</t>
  </si>
  <si>
    <t>Đón khách, check-in, chụp ảnh</t>
  </si>
  <si>
    <t>Nhạc nền</t>
  </si>
  <si>
    <t>Tiết mục mở màn</t>
  </si>
  <si>
    <t>Nhạc tiết mục</t>
  </si>
  <si>
    <t>MC chào, giới thiệu khách</t>
  </si>
  <si>
    <t>MC</t>
  </si>
  <si>
    <t>Nhạc lên sân khấu</t>
  </si>
  <si>
    <t>Phát biểu của chủ cửa hàng</t>
  </si>
  <si>
    <t>Micro cầm tay</t>
  </si>
  <si>
    <t>Dự phòng</t>
  </si>
  <si>
    <t>Bù nếu phần trên trễ</t>
  </si>
  <si>
    <t>Cắt băng khai trương</t>
  </si>
  <si>
    <t>Nhạc cao trào</t>
  </si>
  <si>
    <t>Mở cửa đón khách mua sắm</t>
  </si>
  <si>
    <t>Trò chơi, bốc thăm trúng thưởng</t>
  </si>
  <si>
    <t>Nhạc trò chơi</t>
  </si>
  <si>
    <t>Chụp ảnh, cảm ơn khách</t>
  </si>
  <si>
    <t>Thu dọn sân khấu, trả vỉa hè</t>
  </si>
  <si>
    <t>Khối tháo dỡ</t>
  </si>
  <si>
    <t>Sửa tên ở đây: các danh sách chọn, bảng phân công và biểu đồ đọc từ sheet này. Dòng đã chọn tên cũ ở sheet 1, 2 không tự đổi: sửa ở đây trước, rồi chọn lại ở cột Người phụ trách.</t>
  </si>
  <si>
    <t>Danh mục</t>
  </si>
  <si>
    <t>Màu trên Gantt</t>
  </si>
  <si>
    <t>Khối chương trình</t>
  </si>
  <si>
    <t>Tuần (bản gọn)</t>
  </si>
  <si>
    <t>Setup và kỹ thuật</t>
  </si>
  <si>
    <t>Ra mắt sản phẩm</t>
  </si>
  <si>
    <t>Tuần -5</t>
  </si>
  <si>
    <t>Tổng duyệt</t>
  </si>
  <si>
    <t>Hội nghị</t>
  </si>
  <si>
    <t>Đón khách</t>
  </si>
  <si>
    <t>Hội thảo</t>
  </si>
  <si>
    <t>Khai mạc</t>
  </si>
  <si>
    <t>Nội dung chính</t>
  </si>
  <si>
    <t>Gala</t>
  </si>
  <si>
    <t>Giao lưu và trò chơi</t>
  </si>
  <si>
    <t>Tiệc cuối năm</t>
  </si>
  <si>
    <t>Giải lao</t>
  </si>
  <si>
    <t>Booth hoặc activation</t>
  </si>
  <si>
    <t>Tiệc</t>
  </si>
  <si>
    <t>Khác</t>
  </si>
  <si>
    <t>Tháo dỡ</t>
  </si>
  <si>
    <t>Nhãn hàng duyệt</t>
  </si>
  <si>
    <t>Khách sạn, địa điểm</t>
  </si>
  <si>
    <t>Màu trên Gantt đi theo thứ tự dòng của nhóm việc. Danh sách trạng thái giữ nguyên chữ để công thức đếm đúng.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</si>
</sst>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5" formatCode="dd/mm/yyyy"/>
    <numFmt numFmtId="166" formatCode="hh:mm"/>
    <numFmt numFmtId="167" formatCode="0&quot; ngày&quot;"/>
    <numFmt numFmtId="168" formatCode="0&quot; việc&quot;"/>
    <numFmt numFmtId="169" formatCode="&quot;Dư &quot;0&quot; phút&quot;;&quot;Thiếu &quot;0&quot; phút&quot;;&quot;0 phút&quot;"/>
    <numFmt numFmtId="170" formatCode="0&quot; ô&quot;"/>
    <numFmt numFmtId="171" formatCode="dd/mm"/>
  </numFmts>
  <fonts count="25" x14ac:knownFonts="1">
    <font>
      <sz val="11"/>
      <color theme="1"/>
      <name val="Calibri"/>
      <family val="2"/>
      <scheme val="minor"/>
    </font>
    <font>
      <i/>
      <sz val="9"/>
      <color rgb="FF9C5700"/>
      <name val="Arial"/>
    </font>
    <font>
      <b/>
      <sz val="12"/>
      <color rgb="FF1F3B5C"/>
      <name val="Arial"/>
    </font>
    <font>
      <sz val="10"/>
      <color rgb="FF1F2937"/>
      <name val="Arial"/>
    </font>
    <font>
      <i/>
      <sz val="9"/>
      <color rgb="FF8A94A6"/>
      <name val="Arial"/>
    </font>
    <font>
      <b/>
      <sz val="18"/>
      <color rgb="FF1F3B5C"/>
      <name val="Arial"/>
    </font>
    <font>
      <sz val="10"/>
      <color rgb="FF667085"/>
      <name val="Arial"/>
    </font>
    <font>
      <b/>
      <sz val="11"/>
      <color rgb="FFFFFFFF"/>
      <name val="Arial"/>
    </font>
    <font>
      <b/>
      <sz val="10"/>
      <color rgb="FF1F2937"/>
      <name val="Arial"/>
    </font>
    <font>
      <sz val="11"/>
      <color rgb="FF1F2937"/>
      <name val="Arial"/>
    </font>
    <font>
      <b/>
      <sz val="11"/>
      <color rgb="FF1F2937"/>
      <name val="Arial"/>
    </font>
    <font>
      <b/>
      <sz val="10"/>
      <color rgb="FF667085"/>
      <name val="Arial"/>
    </font>
    <font>
      <b/>
      <sz val="22"/>
      <color rgb="FF1F3B5C"/>
      <name val="Arial"/>
    </font>
    <font>
      <sz val="9"/>
      <color rgb="FF8A94A6"/>
      <name val="Arial"/>
    </font>
    <font>
      <b/>
      <sz val="10"/>
      <color rgb="FFFFFFFF"/>
      <name val="Arial"/>
    </font>
    <font>
      <i/>
      <sz val="11"/>
      <color rgb="FF9C5700"/>
      <name val="Arial"/>
    </font>
    <font>
      <b/>
      <sz val="16"/>
      <color rgb="FF1F3B5C"/>
      <name val="Arial"/>
    </font>
    <font>
      <b/>
      <sz val="11"/>
      <color rgb="FF1F3B5C"/>
      <name val="Arial"/>
    </font>
    <font>
      <sz val="11"/>
      <color rgb="FF667085"/>
      <name val="Arial"/>
    </font>
    <font>
      <sz val="11"/>
      <color rgb="FFFFFFFF"/>
      <name val="Arial"/>
    </font>
    <font>
      <i/>
      <sz val="11"/>
      <color rgb="FF8A94A6"/>
      <name val="Arial"/>
    </font>
    <font>
      <b/>
      <sz val="11"/>
      <color rgb="FF374151"/>
      <name val="Arial"/>
    </font>
    <font>
      <sz val="11"/>
      <color rgb="FF374151"/>
      <name val="Arial"/>
    </font>
    <font>
      <b/>
      <sz val="11"/>
      <color rgb="FF667085"/>
      <name val="Arial"/>
    </font>
    <font>
      <b/>
      <sz val="14"/>
      <color rgb="FF1F3B5C"/>
      <name val="Arial"/>
    </font>
  </fonts>
  <fills count="22">
    <fill>
      <patternFill patternType="none"/>
    </fill>
    <fill>
      <patternFill patternType="gray125"/>
    </fill>
    <fill>
      <patternFill patternType="solid">
        <fgColor rgb="FFFFF8EC"/>
        <bgColor rgb="FFFFF8EC"/>
      </patternFill>
    </fill>
    <fill>
      <patternFill patternType="solid">
        <fgColor rgb="FFF3F6FA"/>
        <bgColor rgb="FFF3F6FA"/>
      </patternFill>
    </fill>
    <fill>
      <patternFill patternType="solid">
        <fgColor rgb="FF1F3B5C"/>
        <bgColor rgb="FF1F3B5C"/>
      </patternFill>
    </fill>
    <fill>
      <patternFill patternType="solid">
        <fgColor rgb="FFF7F9FC"/>
        <bgColor rgb="FFF7F9FC"/>
      </patternFill>
    </fill>
    <fill>
      <patternFill patternType="solid">
        <fgColor rgb="FFFFF6D5"/>
        <bgColor rgb="FFFFF6D5"/>
      </patternFill>
    </fill>
    <fill>
      <patternFill patternType="solid">
        <fgColor rgb="FF2A6F97"/>
        <bgColor rgb="FF2A6F97"/>
      </patternFill>
    </fill>
    <fill>
      <patternFill patternType="solid">
        <fgColor rgb="FFE8EEF5"/>
        <bgColor rgb="FFE8EEF5"/>
      </patternFill>
    </fill>
    <fill>
      <patternFill patternType="solid">
        <fgColor rgb="FFF4F6F9"/>
        <bgColor rgb="FFF4F6F9"/>
      </patternFill>
    </fill>
    <fill>
      <patternFill patternType="solid">
        <fgColor rgb="FFEEF2F7"/>
        <bgColor rgb="FFEEF2F7"/>
      </patternFill>
    </fill>
    <fill>
      <patternFill patternType="solid">
        <fgColor rgb="FFFFFFFF"/>
        <bgColor rgb="FFFFFFFF"/>
      </patternFill>
    </fill>
    <fill>
      <patternFill patternType="solid">
        <fgColor rgb="FF7FA7D9"/>
        <bgColor rgb="FF7FA7D9"/>
      </patternFill>
    </fill>
    <fill>
      <patternFill patternType="solid">
        <fgColor rgb="FF9BCFB8"/>
        <bgColor rgb="FF9BCFB8"/>
      </patternFill>
    </fill>
    <fill>
      <patternFill patternType="solid">
        <fgColor rgb="FFC7A6E0"/>
        <bgColor rgb="FFC7A6E0"/>
      </patternFill>
    </fill>
    <fill>
      <patternFill patternType="solid">
        <fgColor rgb="FFE8B27D"/>
        <bgColor rgb="FFE8B27D"/>
      </patternFill>
    </fill>
    <fill>
      <patternFill patternType="solid">
        <fgColor rgb="FFF2D17C"/>
        <bgColor rgb="FFF2D17C"/>
      </patternFill>
    </fill>
    <fill>
      <patternFill patternType="solid">
        <fgColor rgb="FF86C5D8"/>
        <bgColor rgb="FF86C5D8"/>
      </patternFill>
    </fill>
    <fill>
      <patternFill patternType="solid">
        <fgColor rgb="FFB8C77E"/>
        <bgColor rgb="FFB8C77E"/>
      </patternFill>
    </fill>
    <fill>
      <patternFill patternType="solid">
        <fgColor rgb="FFD9A6A0"/>
        <bgColor rgb="FFD9A6A0"/>
      </patternFill>
    </fill>
    <fill>
      <patternFill patternType="solid">
        <fgColor rgb="FFA7B4E8"/>
        <bgColor rgb="FFA7B4E8"/>
      </patternFill>
    </fill>
    <fill>
      <patternFill patternType="solid">
        <fgColor rgb="FF8E9AAF"/>
        <bgColor rgb="FF8E9AAF"/>
      </patternFill>
    </fill>
  </fills>
  <borders count="2">
    <border>
      <left/>
      <right/>
      <top/>
      <bottom/>
      <diagonal/>
    </border>
    <border>
      <left style="thin">
        <color rgb="FFD9DEE7"/>
      </left>
      <right style="thin">
        <color rgb="FFD9DEE7"/>
      </right>
      <top style="thin">
        <color rgb="FFD9DEE7"/>
      </top>
      <bottom style="thin">
        <color rgb="FFD9DEE7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0" fillId="0" borderId="1" xfId="0" applyBorder="1"/>
    <xf numFmtId="0" fontId="9" fillId="6" borderId="1" xfId="0" applyFont="1" applyFill="1" applyBorder="1" applyAlignment="1" applyProtection="1">
      <alignment horizontal="left" vertical="center" wrapText="1" indent="1"/>
      <protection locked="0"/>
    </xf>
    <xf numFmtId="165" fontId="0" fillId="0" borderId="0" xfId="0" applyNumberFormat="1"/>
    <xf numFmtId="166" fontId="0" fillId="0" borderId="0" xfId="0" applyNumberFormat="1"/>
    <xf numFmtId="0" fontId="11" fillId="0" borderId="0" xfId="0" applyFont="1" applyAlignment="1">
      <alignment horizontal="left" vertical="center" inden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indent="1"/>
    </xf>
    <xf numFmtId="0" fontId="20" fillId="0" borderId="0" xfId="0" applyFont="1" applyAlignment="1">
      <alignment horizontal="center" wrapText="1"/>
    </xf>
    <xf numFmtId="0" fontId="17" fillId="8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71" fontId="19" fillId="4" borderId="1" xfId="0" applyNumberFormat="1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 applyProtection="1">
      <alignment horizontal="left" vertical="center" indent="1"/>
      <protection locked="0"/>
    </xf>
    <xf numFmtId="0" fontId="9" fillId="6" borderId="1" xfId="0" applyFont="1" applyFill="1" applyBorder="1" applyAlignment="1" applyProtection="1">
      <alignment horizontal="center" vertical="center"/>
      <protection locked="0"/>
    </xf>
    <xf numFmtId="165" fontId="21" fillId="9" borderId="1" xfId="0" applyNumberFormat="1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166" fontId="21" fillId="9" borderId="1" xfId="0" applyNumberFormat="1" applyFont="1" applyFill="1" applyBorder="1" applyAlignment="1">
      <alignment horizontal="center" vertical="center" wrapText="1"/>
    </xf>
    <xf numFmtId="166" fontId="22" fillId="9" borderId="1" xfId="0" applyNumberFormat="1" applyFont="1" applyFill="1" applyBorder="1" applyAlignment="1">
      <alignment horizontal="center" vertical="center" wrapText="1"/>
    </xf>
    <xf numFmtId="1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166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left" vertical="center" wrapText="1" indent="1"/>
    </xf>
    <xf numFmtId="0" fontId="9" fillId="13" borderId="1" xfId="0" applyFont="1" applyFill="1" applyBorder="1" applyAlignment="1">
      <alignment horizontal="left" vertical="center" wrapText="1" indent="1"/>
    </xf>
    <xf numFmtId="0" fontId="9" fillId="14" borderId="1" xfId="0" applyFont="1" applyFill="1" applyBorder="1" applyAlignment="1">
      <alignment horizontal="left" vertical="center" wrapText="1" indent="1"/>
    </xf>
    <xf numFmtId="0" fontId="9" fillId="15" borderId="1" xfId="0" applyFont="1" applyFill="1" applyBorder="1" applyAlignment="1">
      <alignment horizontal="left" vertical="center" wrapText="1" indent="1"/>
    </xf>
    <xf numFmtId="0" fontId="9" fillId="16" borderId="1" xfId="0" applyFont="1" applyFill="1" applyBorder="1" applyAlignment="1">
      <alignment horizontal="left" vertical="center" wrapText="1" indent="1"/>
    </xf>
    <xf numFmtId="0" fontId="9" fillId="17" borderId="1" xfId="0" applyFont="1" applyFill="1" applyBorder="1" applyAlignment="1">
      <alignment horizontal="left" vertical="center" wrapText="1" indent="1"/>
    </xf>
    <xf numFmtId="0" fontId="9" fillId="18" borderId="1" xfId="0" applyFont="1" applyFill="1" applyBorder="1" applyAlignment="1">
      <alignment horizontal="left" vertical="center" wrapText="1" indent="1"/>
    </xf>
    <xf numFmtId="0" fontId="9" fillId="19" borderId="1" xfId="0" applyFont="1" applyFill="1" applyBorder="1" applyAlignment="1">
      <alignment horizontal="left" vertical="center" wrapText="1" indent="1"/>
    </xf>
    <xf numFmtId="0" fontId="9" fillId="20" borderId="1" xfId="0" applyFont="1" applyFill="1" applyBorder="1" applyAlignment="1">
      <alignment horizontal="left" vertical="center" wrapText="1" indent="1"/>
    </xf>
    <xf numFmtId="0" fontId="9" fillId="21" borderId="1" xfId="0" applyFont="1" applyFill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2" fillId="3" borderId="0" xfId="0" applyFont="1" applyFill="1" applyAlignment="1">
      <alignment horizontal="center" vertical="center" wrapText="1"/>
    </xf>
    <xf numFmtId="0" fontId="0" fillId="3" borderId="0" xfId="0" applyFill="1"/>
    <xf numFmtId="0" fontId="4" fillId="0" borderId="1" xfId="0" applyFont="1" applyBorder="1" applyAlignment="1">
      <alignment horizontal="left" vertical="center" wrapText="1" indent="1"/>
    </xf>
    <xf numFmtId="0" fontId="0" fillId="0" borderId="1" xfId="0" applyBorder="1"/>
    <xf numFmtId="0" fontId="8" fillId="5" borderId="1" xfId="0" applyFont="1" applyFill="1" applyBorder="1" applyAlignment="1">
      <alignment horizontal="left" vertical="center" wrapText="1" indent="1"/>
    </xf>
    <xf numFmtId="0" fontId="0" fillId="5" borderId="1" xfId="0" applyFill="1" applyBorder="1"/>
    <xf numFmtId="168" fontId="12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 indent="1"/>
    </xf>
    <xf numFmtId="0" fontId="7" fillId="4" borderId="0" xfId="0" applyFont="1" applyFill="1" applyAlignment="1">
      <alignment horizontal="left" vertical="center" wrapText="1" indent="1"/>
    </xf>
    <xf numFmtId="0" fontId="0" fillId="4" borderId="0" xfId="0" applyFill="1"/>
    <xf numFmtId="170" fontId="12" fillId="3" borderId="0" xfId="0" applyNumberFormat="1" applyFont="1" applyFill="1" applyAlignment="1">
      <alignment horizontal="center" vertical="center" wrapText="1"/>
    </xf>
    <xf numFmtId="0" fontId="3" fillId="6" borderId="1" xfId="0" applyFont="1" applyFill="1" applyBorder="1" applyAlignment="1" applyProtection="1">
      <alignment horizontal="left" vertical="center" wrapText="1" indent="1"/>
      <protection locked="0"/>
    </xf>
    <xf numFmtId="0" fontId="0" fillId="6" borderId="1" xfId="0" applyFill="1" applyBorder="1" applyProtection="1">
      <protection locked="0"/>
    </xf>
    <xf numFmtId="165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left" vertical="center" wrapText="1" indent="1"/>
    </xf>
    <xf numFmtId="0" fontId="0" fillId="2" borderId="0" xfId="0" applyFill="1"/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 applyProtection="1">
      <alignment horizontal="left" vertical="center" wrapText="1" indent="1"/>
      <protection locked="0"/>
    </xf>
    <xf numFmtId="169" fontId="12" fillId="3" borderId="0" xfId="0" applyNumberFormat="1" applyFont="1" applyFill="1" applyAlignment="1">
      <alignment horizontal="center" vertical="center" wrapText="1"/>
    </xf>
    <xf numFmtId="166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 wrapText="1" indent="1"/>
    </xf>
    <xf numFmtId="0" fontId="0" fillId="0" borderId="0" xfId="0"/>
    <xf numFmtId="165" fontId="12" fillId="3" borderId="0" xfId="0" applyNumberFormat="1" applyFont="1" applyFill="1" applyAlignment="1">
      <alignment horizontal="center" vertical="center" wrapText="1"/>
    </xf>
    <xf numFmtId="167" fontId="12" fillId="3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horizontal="left" vertical="center" wrapText="1" indent="1"/>
    </xf>
    <xf numFmtId="0" fontId="17" fillId="0" borderId="0" xfId="0" applyFont="1" applyAlignment="1">
      <alignment horizontal="left" vertical="center" wrapText="1" indent="1"/>
    </xf>
    <xf numFmtId="0" fontId="15" fillId="2" borderId="0" xfId="0" applyFont="1" applyFill="1" applyAlignment="1">
      <alignment horizontal="left" vertical="center" wrapText="1" indent="1"/>
    </xf>
    <xf numFmtId="165" fontId="24" fillId="11" borderId="1" xfId="0" applyNumberFormat="1" applyFont="1" applyFill="1" applyBorder="1" applyAlignment="1">
      <alignment horizontal="center" vertical="center" wrapText="1"/>
    </xf>
    <xf numFmtId="0" fontId="0" fillId="11" borderId="1" xfId="0" applyFill="1" applyBorder="1"/>
    <xf numFmtId="166" fontId="24" fillId="11" borderId="1" xfId="0" applyNumberFormat="1" applyFont="1" applyFill="1" applyBorder="1" applyAlignment="1">
      <alignment horizontal="center"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1" fontId="24" fillId="11" borderId="1" xfId="0" applyNumberFormat="1" applyFont="1" applyFill="1" applyBorder="1" applyAlignment="1">
      <alignment horizontal="center" vertical="center" wrapText="1"/>
    </xf>
    <xf numFmtId="169" fontId="24" fillId="11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6"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ill>
        <patternFill patternType="solid">
          <fgColor rgb="FFFDE2E1"/>
          <bgColor rgb="FFFDE2E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b/>
        <color rgb="FF1E6B3A"/>
      </font>
      <fill>
        <patternFill patternType="solid">
          <fgColor rgb="FFDFF3E6"/>
          <bgColor rgb="FFDFF3E6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1E6B3A"/>
      </font>
      <fill>
        <patternFill patternType="solid">
          <fgColor rgb="FFDFF3E6"/>
          <bgColor rgb="FFDFF3E6"/>
        </patternFill>
      </fill>
    </dxf>
    <dxf>
      <font>
        <b/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ill>
        <patternFill patternType="solid">
          <fgColor rgb="FFFBE3E1"/>
          <bgColor rgb="FFFBE3E1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ill>
        <patternFill patternType="solid">
          <fgColor rgb="FFAEB8C4"/>
          <bgColor rgb="FFAEB8C4"/>
        </patternFill>
      </fill>
    </dxf>
    <dxf>
      <fill>
        <patternFill patternType="solid">
          <fgColor rgb="FF8E9AAF"/>
          <bgColor rgb="FF8E9AAF"/>
        </patternFill>
      </fill>
    </dxf>
    <dxf>
      <fill>
        <patternFill patternType="solid">
          <fgColor rgb="FFA7B4E8"/>
          <bgColor rgb="FFA7B4E8"/>
        </patternFill>
      </fill>
    </dxf>
    <dxf>
      <fill>
        <patternFill patternType="solid">
          <fgColor rgb="FFD9A6A0"/>
          <bgColor rgb="FFD9A6A0"/>
        </patternFill>
      </fill>
    </dxf>
    <dxf>
      <fill>
        <patternFill patternType="solid">
          <fgColor rgb="FFB8C77E"/>
          <bgColor rgb="FFB8C77E"/>
        </patternFill>
      </fill>
    </dxf>
    <dxf>
      <fill>
        <patternFill patternType="solid">
          <fgColor rgb="FF86C5D8"/>
          <bgColor rgb="FF86C5D8"/>
        </patternFill>
      </fill>
    </dxf>
    <dxf>
      <fill>
        <patternFill patternType="solid">
          <fgColor rgb="FFF2D17C"/>
          <bgColor rgb="FFF2D17C"/>
        </patternFill>
      </fill>
    </dxf>
    <dxf>
      <fill>
        <patternFill patternType="solid">
          <fgColor rgb="FFE8B27D"/>
          <bgColor rgb="FFE8B27D"/>
        </patternFill>
      </fill>
    </dxf>
    <dxf>
      <fill>
        <patternFill patternType="solid">
          <fgColor rgb="FFC7A6E0"/>
          <bgColor rgb="FFC7A6E0"/>
        </patternFill>
      </fill>
    </dxf>
    <dxf>
      <fill>
        <patternFill patternType="solid">
          <fgColor rgb="FF9BCFB8"/>
          <bgColor rgb="FF9BCFB8"/>
        </patternFill>
      </fill>
    </dxf>
    <dxf>
      <fill>
        <patternFill patternType="solid">
          <fgColor rgb="FF7FA7D9"/>
          <bgColor rgb="FF7FA7D9"/>
        </patternFill>
      </fill>
    </dxf>
    <dxf>
      <fill>
        <patternFill patternType="solid">
          <fgColor rgb="FFE5534B"/>
          <bgColor rgb="FFE5534B"/>
        </patternFill>
      </fill>
    </dxf>
    <dxf>
      <fill>
        <patternFill patternType="solid">
          <fgColor rgb="FFB7C4D1"/>
          <bgColor rgb="FFB7C4D1"/>
        </patternFill>
      </fill>
    </dxf>
    <dxf>
      <border>
        <left style="thin">
          <color rgb="FFF08C00"/>
        </left>
        <right style="thin">
          <color rgb="FFF08C00"/>
        </right>
      </border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5B3F8C"/>
      </font>
      <fill>
        <patternFill patternType="solid">
          <fgColor rgb="FFECE6F6"/>
          <bgColor rgb="FFECE6F6"/>
        </patternFill>
      </fill>
    </dxf>
    <dxf>
      <font>
        <b/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FFFFFF"/>
      </font>
      <fill>
        <patternFill patternType="solid">
          <fgColor rgb="FFE5534B"/>
          <bgColor rgb="FFE5534B"/>
        </patternFill>
      </fill>
    </dxf>
    <dxf>
      <font>
        <color rgb="FF1849A9"/>
      </font>
      <fill>
        <patternFill patternType="solid">
          <fgColor rgb="FFDCEBFA"/>
          <bgColor rgb="FFDCEBFA"/>
        </patternFill>
      </fill>
    </dxf>
    <dxf>
      <font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1F3B5C"/>
      </font>
      <fill>
        <patternFill patternType="solid">
          <fgColor rgb="FFB7C4D1"/>
          <bgColor rgb="FFB7C4D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color rgb="FF8394A6"/>
      </font>
      <fill>
        <patternFill patternType="solid">
          <fgColor rgb="FFE3E9EF"/>
          <bgColor rgb="FFE3E9EF"/>
        </patternFill>
      </fill>
    </dxf>
    <dxf>
      <font>
        <b/>
        <color rgb="FF7A5200"/>
      </font>
      <fill>
        <patternFill patternType="solid">
          <fgColor rgb="FFFFF1C2"/>
          <bgColor rgb="FFFFF1C2"/>
        </patternFill>
      </fill>
    </dxf>
    <dxf>
      <font>
        <b/>
        <color rgb="FFB25E00"/>
      </font>
      <fill>
        <patternFill patternType="solid">
          <fgColor rgb="FFFDEBDC"/>
          <bgColor rgb="FFFDEBDC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  <dxf>
      <font>
        <color rgb="FF4B5563"/>
      </font>
      <fill>
        <patternFill patternType="solid">
          <fgColor rgb="FFFDEBDC"/>
          <bgColor rgb="FFFDEBDC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Tiến độ theo nhóm việc (số việc)</a:t>
            </a:r>
          </a:p>
        </c:rich>
      </c:tx>
      <c:overlay val="1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strRef>
              <c:f>'0. Bắt đầu'!$C$48</c:f>
              <c:strCache>
                <c:ptCount val="1"/>
                <c:pt idx="0">
                  <c:v>Xong</c:v>
                </c:pt>
              </c:strCache>
            </c:strRef>
          </c:tx>
          <c:spPr>
            <a:solidFill>
              <a:srgbClr val="1E8E5A"/>
            </a:solidFill>
            <a:ln>
              <a:solidFill>
                <a:srgbClr val="1E8E5A"/>
              </a:solidFill>
              <a:prstDash val="solid"/>
            </a:ln>
          </c:spPr>
          <c:invertIfNegative val="1"/>
          <c:cat>
            <c:strRef>
              <c:f>'0. Bắt đầu'!$B$49:$B$58</c:f>
              <c:strCache>
                <c:ptCount val="10"/>
                <c:pt idx="0">
                  <c:v>Brief và hợp đồng</c:v>
                </c:pt>
                <c:pt idx="1">
                  <c:v>Địa điểm</c:v>
                </c:pt>
                <c:pt idx="2">
                  <c:v>Concept và thiết kế</c:v>
                </c:pt>
                <c:pt idx="3">
                  <c:v>Sản xuất và in ấn</c:v>
                </c:pt>
                <c:pt idx="4">
                  <c:v>Khách mời</c:v>
                </c:pt>
                <c:pt idx="5">
                  <c:v>Kịch bản và MC</c:v>
                </c:pt>
                <c:pt idx="6">
                  <c:v>Nhân sự và đào tạo</c:v>
                </c:pt>
                <c:pt idx="7">
                  <c:v>Hậu cần và vận chuyển</c:v>
                </c:pt>
                <c:pt idx="8">
                  <c:v>Truyền thông</c:v>
                </c:pt>
                <c:pt idx="9">
                  <c:v>Diễn ra và sau sự kiện</c:v>
                </c:pt>
              </c:strCache>
            </c:strRef>
          </c:cat>
          <c:val>
            <c:numRef>
              <c:f>'0. Bắt đầu'!$C$49:$C$58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1E8E5A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2B7D-4DBE-89FA-3FBB78B114FC}"/>
            </c:ext>
          </c:extLst>
        </c:ser>
        <c:ser>
          <c:idx val="1"/>
          <c:order val="1"/>
          <c:tx>
            <c:strRef>
              <c:f>'0. Bắt đầu'!$D$48</c:f>
              <c:strCache>
                <c:ptCount val="1"/>
                <c:pt idx="0">
                  <c:v>Chưa xong</c:v>
                </c:pt>
              </c:strCache>
            </c:strRef>
          </c:tx>
          <c:spPr>
            <a:solidFill>
              <a:srgbClr val="C9D3DE"/>
            </a:solidFill>
            <a:ln>
              <a:solidFill>
                <a:srgbClr val="C9D3DE"/>
              </a:solidFill>
              <a:prstDash val="solid"/>
            </a:ln>
          </c:spPr>
          <c:invertIfNegative val="1"/>
          <c:cat>
            <c:strRef>
              <c:f>'0. Bắt đầu'!$B$49:$B$58</c:f>
              <c:strCache>
                <c:ptCount val="10"/>
                <c:pt idx="0">
                  <c:v>Brief và hợp đồng</c:v>
                </c:pt>
                <c:pt idx="1">
                  <c:v>Địa điểm</c:v>
                </c:pt>
                <c:pt idx="2">
                  <c:v>Concept và thiết kế</c:v>
                </c:pt>
                <c:pt idx="3">
                  <c:v>Sản xuất và in ấn</c:v>
                </c:pt>
                <c:pt idx="4">
                  <c:v>Khách mời</c:v>
                </c:pt>
                <c:pt idx="5">
                  <c:v>Kịch bản và MC</c:v>
                </c:pt>
                <c:pt idx="6">
                  <c:v>Nhân sự và đào tạo</c:v>
                </c:pt>
                <c:pt idx="7">
                  <c:v>Hậu cần và vận chuyển</c:v>
                </c:pt>
                <c:pt idx="8">
                  <c:v>Truyền thông</c:v>
                </c:pt>
                <c:pt idx="9">
                  <c:v>Diễn ra và sau sự kiện</c:v>
                </c:pt>
              </c:strCache>
            </c:strRef>
          </c:cat>
          <c:val>
            <c:numRef>
              <c:f>'0. Bắt đầu'!$D$49:$D$58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C9D3DE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2B7D-4DBE-89FA-3FBB78B11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"/>
        <c:axId val="100"/>
      </c:barChart>
      <c:catAx>
        <c:axId val="1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"/>
        <c:crosses val="max"/>
        <c:crossBetween val="between"/>
      </c:valAx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27</xdr:row>
      <xdr:rowOff>0</xdr:rowOff>
    </xdr:from>
    <xdr:ext cx="8208000" cy="3024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3B5C"/>
  </sheetPr>
  <dimension ref="B1:L58"/>
  <sheetViews>
    <sheetView showGridLines="0" tabSelected="1" zoomScaleNormal="100" workbookViewId="0"/>
  </sheetViews>
  <sheetFormatPr defaultRowHeight="14.5" x14ac:dyDescent="0.35"/>
  <cols>
    <col min="1" max="1" width="2" customWidth="1"/>
    <col min="2" max="9" width="15" customWidth="1"/>
    <col min="10" max="10" width="2" customWidth="1"/>
    <col min="11" max="12" width="13" hidden="1" customWidth="1"/>
  </cols>
  <sheetData>
    <row r="1" spans="2:12" ht="30" customHeight="1" x14ac:dyDescent="0.35">
      <c r="B1" s="54" t="s">
        <v>0</v>
      </c>
      <c r="C1" s="55"/>
      <c r="D1" s="55"/>
      <c r="E1" s="55"/>
      <c r="F1" s="55"/>
      <c r="G1" s="55"/>
      <c r="H1" s="55"/>
      <c r="I1" s="55"/>
    </row>
    <row r="2" spans="2:12" ht="15.5" x14ac:dyDescent="0.35">
      <c r="B2" s="1" t="s">
        <v>1</v>
      </c>
    </row>
    <row r="3" spans="2:12" ht="30" customHeight="1" x14ac:dyDescent="0.35">
      <c r="B3" s="47" t="s">
        <v>2</v>
      </c>
      <c r="C3" s="39"/>
      <c r="D3" s="39"/>
      <c r="E3" s="39"/>
      <c r="F3" s="39"/>
      <c r="G3" s="39"/>
      <c r="H3" s="39"/>
      <c r="I3" s="39"/>
    </row>
    <row r="4" spans="2:12" ht="30" customHeight="1" x14ac:dyDescent="0.35">
      <c r="B4" s="47" t="s">
        <v>3</v>
      </c>
      <c r="C4" s="39"/>
      <c r="D4" s="39"/>
      <c r="E4" s="39"/>
      <c r="F4" s="39"/>
      <c r="G4" s="39"/>
      <c r="H4" s="39"/>
      <c r="I4" s="39"/>
    </row>
    <row r="5" spans="2:12" ht="30" customHeight="1" x14ac:dyDescent="0.35">
      <c r="B5" s="47" t="s">
        <v>4</v>
      </c>
      <c r="C5" s="39"/>
      <c r="D5" s="39"/>
      <c r="E5" s="39"/>
      <c r="F5" s="39"/>
      <c r="G5" s="39"/>
      <c r="H5" s="39"/>
      <c r="I5" s="39"/>
    </row>
    <row r="6" spans="2:12" ht="30" customHeight="1" x14ac:dyDescent="0.35">
      <c r="B6" s="60" t="s">
        <v>5</v>
      </c>
      <c r="C6" s="61"/>
      <c r="D6" s="61"/>
      <c r="E6" s="61"/>
      <c r="F6" s="61"/>
      <c r="G6" s="61"/>
      <c r="H6" s="61"/>
      <c r="I6" s="61"/>
    </row>
    <row r="7" spans="2:12" ht="8" customHeight="1" x14ac:dyDescent="0.35"/>
    <row r="8" spans="2:12" ht="32" customHeight="1" x14ac:dyDescent="0.35">
      <c r="B8" s="2" t="s">
        <v>6</v>
      </c>
    </row>
    <row r="9" spans="2:12" x14ac:dyDescent="0.35">
      <c r="B9" s="3" t="s">
        <v>7</v>
      </c>
    </row>
    <row r="10" spans="2:12" ht="22" customHeight="1" x14ac:dyDescent="0.35">
      <c r="B10" s="48" t="s">
        <v>8</v>
      </c>
      <c r="C10" s="49"/>
      <c r="D10" s="49"/>
      <c r="E10" s="49"/>
      <c r="F10" s="49"/>
      <c r="G10" s="49"/>
      <c r="H10" s="49"/>
      <c r="I10" s="49"/>
    </row>
    <row r="11" spans="2:12" ht="30" customHeight="1" x14ac:dyDescent="0.35">
      <c r="B11" s="42" t="s">
        <v>9</v>
      </c>
      <c r="C11" s="43"/>
      <c r="D11" s="51" t="s">
        <v>10</v>
      </c>
      <c r="E11" s="52"/>
      <c r="F11" s="40" t="s">
        <v>11</v>
      </c>
      <c r="G11" s="41"/>
      <c r="H11" s="41"/>
      <c r="I11" s="41"/>
      <c r="K11" t="s">
        <v>10</v>
      </c>
    </row>
    <row r="12" spans="2:12" ht="22" customHeight="1" x14ac:dyDescent="0.35">
      <c r="B12" s="42" t="s">
        <v>12</v>
      </c>
      <c r="C12" s="43"/>
      <c r="D12" s="57" t="s">
        <v>13</v>
      </c>
      <c r="E12" s="52"/>
      <c r="F12" s="40" t="s">
        <v>14</v>
      </c>
      <c r="G12" s="41"/>
      <c r="H12" s="41"/>
      <c r="I12" s="41"/>
      <c r="K12" t="s">
        <v>13</v>
      </c>
    </row>
    <row r="13" spans="2:12" ht="22" customHeight="1" x14ac:dyDescent="0.35">
      <c r="B13" s="42" t="s">
        <v>15</v>
      </c>
      <c r="C13" s="43"/>
      <c r="D13" s="53">
        <v>46368</v>
      </c>
      <c r="E13" s="52"/>
      <c r="F13" s="40" t="s">
        <v>16</v>
      </c>
      <c r="G13" s="41"/>
      <c r="H13" s="41"/>
      <c r="I13" s="41"/>
      <c r="K13" s="6">
        <v>46368</v>
      </c>
    </row>
    <row r="14" spans="2:12" ht="22" customHeight="1" x14ac:dyDescent="0.35">
      <c r="B14" s="42" t="s">
        <v>17</v>
      </c>
      <c r="C14" s="43"/>
      <c r="D14" s="59">
        <v>0.25</v>
      </c>
      <c r="E14" s="52"/>
      <c r="F14" s="40" t="s">
        <v>18</v>
      </c>
      <c r="G14" s="41"/>
      <c r="H14" s="41"/>
      <c r="I14" s="41"/>
      <c r="K14" s="7">
        <v>0.25</v>
      </c>
    </row>
    <row r="15" spans="2:12" ht="22" customHeight="1" x14ac:dyDescent="0.35">
      <c r="B15" s="42" t="s">
        <v>19</v>
      </c>
      <c r="C15" s="43"/>
      <c r="D15" s="59">
        <v>0.5</v>
      </c>
      <c r="E15" s="52"/>
      <c r="F15" s="40" t="s">
        <v>20</v>
      </c>
      <c r="G15" s="41"/>
      <c r="H15" s="41"/>
      <c r="I15" s="41"/>
      <c r="K15" s="7">
        <v>0.5</v>
      </c>
    </row>
    <row r="16" spans="2:12" ht="22" customHeight="1" x14ac:dyDescent="0.35">
      <c r="B16" s="42" t="s">
        <v>21</v>
      </c>
      <c r="C16" s="43"/>
      <c r="D16" s="53">
        <v>46351</v>
      </c>
      <c r="E16" s="52"/>
      <c r="F16" s="40" t="s">
        <v>22</v>
      </c>
      <c r="G16" s="41"/>
      <c r="H16" s="41"/>
      <c r="I16" s="41"/>
      <c r="K16" s="6">
        <v>46351</v>
      </c>
      <c r="L16" s="6">
        <f ca="1">IF(D16="",TODAY(),D16)</f>
        <v>46351</v>
      </c>
    </row>
    <row r="17" spans="2:9" ht="22" customHeight="1" x14ac:dyDescent="0.35">
      <c r="B17" s="42" t="s">
        <v>23</v>
      </c>
      <c r="C17" s="43"/>
      <c r="D17" s="56" t="s">
        <v>24</v>
      </c>
      <c r="E17" s="52"/>
      <c r="F17" s="40" t="s">
        <v>25</v>
      </c>
      <c r="G17" s="41"/>
      <c r="H17" s="41"/>
      <c r="I17" s="41"/>
    </row>
    <row r="18" spans="2:9" ht="22" customHeight="1" x14ac:dyDescent="0.35">
      <c r="B18" s="48" t="s">
        <v>26</v>
      </c>
      <c r="C18" s="49"/>
      <c r="D18" s="49"/>
      <c r="E18" s="49"/>
      <c r="F18" s="49"/>
      <c r="G18" s="49"/>
      <c r="H18" s="49"/>
      <c r="I18" s="49"/>
    </row>
    <row r="19" spans="2:9" ht="20" customHeight="1" x14ac:dyDescent="0.35">
      <c r="B19" s="46" t="s">
        <v>27</v>
      </c>
      <c r="C19" s="39"/>
      <c r="D19" s="46" t="s">
        <v>28</v>
      </c>
      <c r="E19" s="39"/>
      <c r="F19" s="46" t="s">
        <v>29</v>
      </c>
      <c r="G19" s="39"/>
      <c r="H19" s="46" t="s">
        <v>30</v>
      </c>
      <c r="I19" s="39"/>
    </row>
    <row r="20" spans="2:9" ht="38" customHeight="1" x14ac:dyDescent="0.35">
      <c r="B20" s="63">
        <f ca="1">IF(NGAY_SU_KIEN="","Chưa nhập",IF(NGAY_SU_KIEN&lt;NGAY_XEM,"Đã diễn ra",NGAY_SU_KIEN-NGAY_XEM))</f>
        <v>17</v>
      </c>
      <c r="C20" s="39"/>
      <c r="D20" s="38" t="str">
        <f>COUNTIFS('1. Lịch theo tuần'!$C$7:$C$66,"&lt;&gt;",'1. Lịch theo tuần'!$H$7:$H$66,"Xong")&amp;" / "&amp;COUNTIF('1. Lịch theo tuần'!$C$7:$C$66,"?*")</f>
        <v>6 / 18</v>
      </c>
      <c r="E20" s="39"/>
      <c r="F20" s="44">
        <f ca="1">COUNTIF('1. Lịch theo tuần'!$I$7:$I$66,"Trễ hạn")</f>
        <v>1</v>
      </c>
      <c r="G20" s="39"/>
      <c r="H20" s="44">
        <f ca="1">COUNTIF('1. Lịch theo tuần'!$I$7:$I$66,"Đến hạn 7 ngày")</f>
        <v>4</v>
      </c>
      <c r="I20" s="39"/>
    </row>
    <row r="21" spans="2:9" ht="18" customHeight="1" x14ac:dyDescent="0.35">
      <c r="B21" s="45" t="str">
        <f ca="1">IF(NGAY_SU_KIEN="","nhập ngày diễn ra ở trên","tính tới ngày "&amp;DAY(NGAY_XEM)&amp;"/"&amp;MONTH(NGAY_XEM)&amp;"/"&amp;YEAR(NGAY_XEM))</f>
        <v>tính tới ngày 25/11/2026</v>
      </c>
      <c r="C21" s="39"/>
      <c r="D21" s="45" t="str">
        <f>IF(COUNTIF('1. Lịch theo tuần'!$C$7:$C$66,"?*")=0,"0% số việc","đạt "&amp;ROUND(COUNTIFS('1. Lịch theo tuần'!$C$7:$C$66,"&lt;&gt;",'1. Lịch theo tuần'!$H$7:$H$66,"Xong")/COUNTIF('1. Lịch theo tuần'!$C$7:$C$66,"?*")*100,0)&amp;"% số việc")</f>
        <v>đạt 33% số việc</v>
      </c>
      <c r="E21" s="39"/>
      <c r="F21" s="45" t="s">
        <v>31</v>
      </c>
      <c r="G21" s="39"/>
      <c r="H21" s="45" t="s">
        <v>32</v>
      </c>
      <c r="I21" s="39"/>
    </row>
    <row r="22" spans="2:9" ht="8" customHeight="1" x14ac:dyDescent="0.35"/>
    <row r="23" spans="2:9" ht="20" customHeight="1" x14ac:dyDescent="0.35">
      <c r="B23" s="46" t="s">
        <v>33</v>
      </c>
      <c r="C23" s="39"/>
      <c r="D23" s="46" t="s">
        <v>34</v>
      </c>
      <c r="E23" s="39"/>
      <c r="F23" s="46" t="s">
        <v>35</v>
      </c>
      <c r="G23" s="39"/>
      <c r="H23" s="46" t="s">
        <v>21</v>
      </c>
      <c r="I23" s="39"/>
    </row>
    <row r="24" spans="2:9" ht="38" customHeight="1" x14ac:dyDescent="0.35">
      <c r="B24" s="38" t="str">
        <f>IF(COUNT('2. Run sheet'!$C$7:$C$46)=0,"Chưa có mục",RIGHT("0"&amp;HOUR(MIN('2. Run sheet'!$B$7:$B$46)),2)&amp;":"&amp;RIGHT("0"&amp;MINUTE(MIN('2. Run sheet'!$B$7:$B$46)),2)&amp;" – "&amp;RIGHT("0"&amp;HOUR(LOOKUP(2,1/ISNUMBER('2. Run sheet'!$C$7:$C$46),'2. Run sheet'!$C$7:$C$46)),2)&amp;":"&amp;RIGHT("0"&amp;MINUTE(LOOKUP(2,1/ISNUMBER('2. Run sheet'!$C$7:$C$46),'2. Run sheet'!$C$7:$C$46)),2))</f>
        <v>06:00 – 11:50</v>
      </c>
      <c r="C24" s="39"/>
      <c r="D24" s="58">
        <f>IF(OR(COUNT('2. Run sheet'!$C$7:$C$46)=0,GIO_TRA_SANH=""),0,ROUND((GIO_TRA_SANH-LOOKUP(2,1/ISNUMBER('2. Run sheet'!$C$7:$C$46),'2. Run sheet'!$C$7:$C$46))*1440,0))</f>
        <v>10</v>
      </c>
      <c r="E24" s="39"/>
      <c r="F24" s="50">
        <f>IF(DA_THAY="Rồi",0,SUMPRODUCT(('1. Lịch theo tuần'!$AA$7:$AA$66=1)*('1. Lịch theo tuần'!$B$7:$B$66='1. Lịch theo tuần'!$U$7:$U$66))+SUMPRODUCT(('1. Lịch theo tuần'!$AA$7:$AA$66=1)*('1. Lịch theo tuần'!$C$7:$C$66='1. Lịch theo tuần'!$V$7:$V$66))+SUMPRODUCT(('1. Lịch theo tuần'!$AA$7:$AA$66=1)*('1. Lịch theo tuần'!$D$7:$D$66='1. Lịch theo tuần'!$W$7:$W$66))+SUMPRODUCT(('1. Lịch theo tuần'!$AA$7:$AA$66=1)*('1. Lịch theo tuần'!$E$7:$E$66='1. Lịch theo tuần'!$X$7:$X$66))+SUMPRODUCT(('1. Lịch theo tuần'!$AA$7:$AA$66=1)*('1. Lịch theo tuần'!$H$7:$H$66='1. Lịch theo tuần'!$Y$7:$Y$66))+SUMPRODUCT(('1. Lịch theo tuần'!$AA$7:$AA$66=1)*('1. Lịch theo tuần'!$J$7:$J$66='1. Lịch theo tuần'!$Z$7:$Z$66))+SUMPRODUCT(('2. Run sheet'!$R$7:$R$46=1)*('2. Run sheet'!$D$7:$D$46='2. Run sheet'!$L$7:$L$46))+SUMPRODUCT(('2. Run sheet'!$R$7:$R$46=1)*('2. Run sheet'!$E$7:$E$46='2. Run sheet'!$M$7:$M$46))+SUMPRODUCT(('2. Run sheet'!$R$7:$R$46=1)*('2. Run sheet'!$G$7:$G$46='2. Run sheet'!$N$7:$N$46))+SUMPRODUCT(('2. Run sheet'!$R$7:$R$46=1)*('2. Run sheet'!$H$7:$H$46='2. Run sheet'!$O$7:$O$46))+SUMPRODUCT(('2. Run sheet'!$R$7:$R$46=1)*('2. Run sheet'!$I$7:$I$46='2. Run sheet'!$P$7:$P$46))+SUMPRODUCT(('2. Run sheet'!$R$7:$R$46=1)*('2. Run sheet'!$J$7:$J$46='2. Run sheet'!$Q$7:$Q$46))+SUMPRODUCT((LEN($K$11)&gt;0)*($D$11=$K$11))+SUMPRODUCT((LEN($K$12)&gt;0)*($D$12=$K$12))+SUMPRODUCT((LEN($K$13)&gt;0)*($D$13=$K$13))+SUMPRODUCT((LEN($K$14)&gt;0)*($D$14=$K$14))+SUMPRODUCT((LEN($K$15)&gt;0)*($D$15=$K$15))+SUMPRODUCT((LEN($K$16)&gt;0)*($D$16=$K$16)))</f>
        <v>198</v>
      </c>
      <c r="G24" s="39"/>
      <c r="H24" s="62">
        <f ca="1">NGAY_XEM</f>
        <v>46351</v>
      </c>
      <c r="I24" s="39"/>
    </row>
    <row r="25" spans="2:9" ht="18" customHeight="1" x14ac:dyDescent="0.35">
      <c r="B25" s="45" t="s">
        <v>36</v>
      </c>
      <c r="C25" s="39"/>
      <c r="D25" s="45" t="str">
        <f>IF(GIO_TRA_SANH="","nhập giờ ở trên","mốc "&amp;RIGHT("0"&amp;HOUR(GIO_TRA_SANH),2)&amp;":"&amp;RIGHT("0"&amp;MINUTE(GIO_TRA_SANH),2))</f>
        <v>mốc 12:00</v>
      </c>
      <c r="E25" s="39"/>
      <c r="F25" s="45" t="s">
        <v>37</v>
      </c>
      <c r="G25" s="39"/>
      <c r="H25" s="45" t="str">
        <f>IF(D16="","đang dùng ngày hôm nay","ngày ví dụ, xóa để dùng hôm nay")</f>
        <v>ngày ví dụ, xóa để dùng hôm nay</v>
      </c>
      <c r="I25" s="39"/>
    </row>
    <row r="26" spans="2:9" ht="8" customHeight="1" x14ac:dyDescent="0.35"/>
    <row r="27" spans="2:9" ht="22" customHeight="1" x14ac:dyDescent="0.35">
      <c r="B27" s="48" t="s">
        <v>38</v>
      </c>
      <c r="C27" s="49"/>
      <c r="D27" s="49"/>
      <c r="E27" s="49"/>
      <c r="F27" s="49"/>
      <c r="G27" s="49"/>
      <c r="H27" s="49"/>
      <c r="I27" s="49"/>
    </row>
    <row r="28" spans="2:9" ht="18" customHeight="1" x14ac:dyDescent="0.35"/>
    <row r="29" spans="2:9" ht="18" customHeight="1" x14ac:dyDescent="0.35"/>
    <row r="30" spans="2:9" ht="18" customHeight="1" x14ac:dyDescent="0.35"/>
    <row r="31" spans="2:9" ht="18" customHeight="1" x14ac:dyDescent="0.35"/>
    <row r="32" spans="2:9" ht="18" customHeight="1" x14ac:dyDescent="0.35"/>
    <row r="33" spans="2:4" ht="18" customHeight="1" x14ac:dyDescent="0.35"/>
    <row r="34" spans="2:4" ht="18" customHeight="1" x14ac:dyDescent="0.35"/>
    <row r="35" spans="2:4" ht="18" customHeight="1" x14ac:dyDescent="0.35"/>
    <row r="36" spans="2:4" ht="18" customHeight="1" x14ac:dyDescent="0.35"/>
    <row r="37" spans="2:4" ht="18" customHeight="1" x14ac:dyDescent="0.35"/>
    <row r="38" spans="2:4" ht="18" customHeight="1" x14ac:dyDescent="0.35"/>
    <row r="39" spans="2:4" ht="18" customHeight="1" x14ac:dyDescent="0.35"/>
    <row r="40" spans="2:4" ht="18" customHeight="1" x14ac:dyDescent="0.35"/>
    <row r="41" spans="2:4" ht="18" customHeight="1" x14ac:dyDescent="0.35"/>
    <row r="42" spans="2:4" ht="18" customHeight="1" x14ac:dyDescent="0.35"/>
    <row r="43" spans="2:4" ht="18" customHeight="1" x14ac:dyDescent="0.35"/>
    <row r="44" spans="2:4" ht="18" customHeight="1" x14ac:dyDescent="0.35"/>
    <row r="47" spans="2:4" x14ac:dyDescent="0.35">
      <c r="B47" s="8" t="s">
        <v>39</v>
      </c>
    </row>
    <row r="48" spans="2:4" x14ac:dyDescent="0.35">
      <c r="B48" s="9" t="s">
        <v>40</v>
      </c>
      <c r="C48" s="9" t="s">
        <v>41</v>
      </c>
      <c r="D48" s="9" t="s">
        <v>42</v>
      </c>
    </row>
    <row r="49" spans="2:4" x14ac:dyDescent="0.35">
      <c r="B49" s="10" t="str">
        <f>INDEX(DS_NHOM,1)&amp;""</f>
        <v>Brief và hợp đồng</v>
      </c>
      <c r="C49" s="11">
        <f>COUNTIFS('1. Lịch theo tuần'!$B$7:$B$66,B49,'1. Lịch theo tuần'!$C$7:$C$66,"&lt;&gt;",'1. Lịch theo tuần'!$H$7:$H$66,"Xong")</f>
        <v>1</v>
      </c>
      <c r="D49" s="11">
        <f>COUNTIFS('1. Lịch theo tuần'!$B$7:$B$66,B49,'1. Lịch theo tuần'!$C$7:$C$66,"&lt;&gt;")-C49</f>
        <v>0</v>
      </c>
    </row>
    <row r="50" spans="2:4" x14ac:dyDescent="0.35">
      <c r="B50" s="10" t="str">
        <f>INDEX(DS_NHOM,2)&amp;""</f>
        <v>Địa điểm</v>
      </c>
      <c r="C50" s="11">
        <f>COUNTIFS('1. Lịch theo tuần'!$B$7:$B$66,B50,'1. Lịch theo tuần'!$C$7:$C$66,"&lt;&gt;",'1. Lịch theo tuần'!$H$7:$H$66,"Xong")</f>
        <v>1</v>
      </c>
      <c r="D50" s="11">
        <f>COUNTIFS('1. Lịch theo tuần'!$B$7:$B$66,B50,'1. Lịch theo tuần'!$C$7:$C$66,"&lt;&gt;")-C50</f>
        <v>0</v>
      </c>
    </row>
    <row r="51" spans="2:4" x14ac:dyDescent="0.35">
      <c r="B51" s="10" t="str">
        <f>INDEX(DS_NHOM,3)&amp;""</f>
        <v>Concept và thiết kế</v>
      </c>
      <c r="C51" s="11">
        <f>COUNTIFS('1. Lịch theo tuần'!$B$7:$B$66,B51,'1. Lịch theo tuần'!$C$7:$C$66,"&lt;&gt;",'1. Lịch theo tuần'!$H$7:$H$66,"Xong")</f>
        <v>2</v>
      </c>
      <c r="D51" s="11">
        <f>COUNTIFS('1. Lịch theo tuần'!$B$7:$B$66,B51,'1. Lịch theo tuần'!$C$7:$C$66,"&lt;&gt;")-C51</f>
        <v>1</v>
      </c>
    </row>
    <row r="52" spans="2:4" x14ac:dyDescent="0.35">
      <c r="B52" s="10" t="str">
        <f>INDEX(DS_NHOM,4)&amp;""</f>
        <v>Sản xuất và in ấn</v>
      </c>
      <c r="C52" s="11">
        <f>COUNTIFS('1. Lịch theo tuần'!$B$7:$B$66,B52,'1. Lịch theo tuần'!$C$7:$C$66,"&lt;&gt;",'1. Lịch theo tuần'!$H$7:$H$66,"Xong")</f>
        <v>0</v>
      </c>
      <c r="D52" s="11">
        <f>COUNTIFS('1. Lịch theo tuần'!$B$7:$B$66,B52,'1. Lịch theo tuần'!$C$7:$C$66,"&lt;&gt;")-C52</f>
        <v>1</v>
      </c>
    </row>
    <row r="53" spans="2:4" x14ac:dyDescent="0.35">
      <c r="B53" s="10" t="str">
        <f>INDEX(DS_NHOM,5)&amp;""</f>
        <v>Khách mời</v>
      </c>
      <c r="C53" s="11">
        <f>COUNTIFS('1. Lịch theo tuần'!$B$7:$B$66,B53,'1. Lịch theo tuần'!$C$7:$C$66,"&lt;&gt;",'1. Lịch theo tuần'!$H$7:$H$66,"Xong")</f>
        <v>1</v>
      </c>
      <c r="D53" s="11">
        <f>COUNTIFS('1. Lịch theo tuần'!$B$7:$B$66,B53,'1. Lịch theo tuần'!$C$7:$C$66,"&lt;&gt;")-C53</f>
        <v>2</v>
      </c>
    </row>
    <row r="54" spans="2:4" x14ac:dyDescent="0.35">
      <c r="B54" s="10" t="str">
        <f>INDEX(DS_NHOM,6)&amp;""</f>
        <v>Kịch bản và MC</v>
      </c>
      <c r="C54" s="11">
        <f>COUNTIFS('1. Lịch theo tuần'!$B$7:$B$66,B54,'1. Lịch theo tuần'!$C$7:$C$66,"&lt;&gt;",'1. Lịch theo tuần'!$H$7:$H$66,"Xong")</f>
        <v>1</v>
      </c>
      <c r="D54" s="11">
        <f>COUNTIFS('1. Lịch theo tuần'!$B$7:$B$66,B54,'1. Lịch theo tuần'!$C$7:$C$66,"&lt;&gt;")-C54</f>
        <v>1</v>
      </c>
    </row>
    <row r="55" spans="2:4" x14ac:dyDescent="0.35">
      <c r="B55" s="10" t="str">
        <f>INDEX(DS_NHOM,7)&amp;""</f>
        <v>Nhân sự và đào tạo</v>
      </c>
      <c r="C55" s="11">
        <f>COUNTIFS('1. Lịch theo tuần'!$B$7:$B$66,B55,'1. Lịch theo tuần'!$C$7:$C$66,"&lt;&gt;",'1. Lịch theo tuần'!$H$7:$H$66,"Xong")</f>
        <v>0</v>
      </c>
      <c r="D55" s="11">
        <f>COUNTIFS('1. Lịch theo tuần'!$B$7:$B$66,B55,'1. Lịch theo tuần'!$C$7:$C$66,"&lt;&gt;")-C55</f>
        <v>1</v>
      </c>
    </row>
    <row r="56" spans="2:4" x14ac:dyDescent="0.35">
      <c r="B56" s="10" t="str">
        <f>INDEX(DS_NHOM,8)&amp;""</f>
        <v>Hậu cần và vận chuyển</v>
      </c>
      <c r="C56" s="11">
        <f>COUNTIFS('1. Lịch theo tuần'!$B$7:$B$66,B56,'1. Lịch theo tuần'!$C$7:$C$66,"&lt;&gt;",'1. Lịch theo tuần'!$H$7:$H$66,"Xong")</f>
        <v>0</v>
      </c>
      <c r="D56" s="11">
        <f>COUNTIFS('1. Lịch theo tuần'!$B$7:$B$66,B56,'1. Lịch theo tuần'!$C$7:$C$66,"&lt;&gt;")-C56</f>
        <v>2</v>
      </c>
    </row>
    <row r="57" spans="2:4" x14ac:dyDescent="0.35">
      <c r="B57" s="10" t="str">
        <f>INDEX(DS_NHOM,9)&amp;""</f>
        <v>Truyền thông</v>
      </c>
      <c r="C57" s="11">
        <f>COUNTIFS('1. Lịch theo tuần'!$B$7:$B$66,B57,'1. Lịch theo tuần'!$C$7:$C$66,"&lt;&gt;",'1. Lịch theo tuần'!$H$7:$H$66,"Xong")</f>
        <v>0</v>
      </c>
      <c r="D57" s="11">
        <f>COUNTIFS('1. Lịch theo tuần'!$B$7:$B$66,B57,'1. Lịch theo tuần'!$C$7:$C$66,"&lt;&gt;")-C57</f>
        <v>1</v>
      </c>
    </row>
    <row r="58" spans="2:4" x14ac:dyDescent="0.35">
      <c r="B58" s="10" t="str">
        <f>INDEX(DS_NHOM,10)&amp;""</f>
        <v>Diễn ra và sau sự kiện</v>
      </c>
      <c r="C58" s="11">
        <f>COUNTIFS('1. Lịch theo tuần'!$B$7:$B$66,B58,'1. Lịch theo tuần'!$C$7:$C$66,"&lt;&gt;",'1. Lịch theo tuần'!$H$7:$H$66,"Xong")</f>
        <v>0</v>
      </c>
      <c r="D58" s="11">
        <f>COUNTIFS('1. Lịch theo tuần'!$B$7:$B$66,B58,'1. Lịch theo tuần'!$C$7:$C$66,"&lt;&gt;")-C58</f>
        <v>3</v>
      </c>
    </row>
  </sheetData>
  <sheetProtection sheet="1" objects="1" scenarios="1" formatColumns="0" formatRows="0" autoFilter="0"/>
  <mergeCells count="53">
    <mergeCell ref="H24:I24"/>
    <mergeCell ref="B20:C20"/>
    <mergeCell ref="D23:E23"/>
    <mergeCell ref="D14:E14"/>
    <mergeCell ref="B5:I5"/>
    <mergeCell ref="H23:I23"/>
    <mergeCell ref="B1:I1"/>
    <mergeCell ref="D17:E17"/>
    <mergeCell ref="B13:C13"/>
    <mergeCell ref="D16:E16"/>
    <mergeCell ref="B19:C19"/>
    <mergeCell ref="B10:I10"/>
    <mergeCell ref="F12:I12"/>
    <mergeCell ref="F15:I15"/>
    <mergeCell ref="H19:I19"/>
    <mergeCell ref="D12:E12"/>
    <mergeCell ref="B15:C15"/>
    <mergeCell ref="F17:I17"/>
    <mergeCell ref="D15:E15"/>
    <mergeCell ref="B6:I6"/>
    <mergeCell ref="B4:I4"/>
    <mergeCell ref="B3:I3"/>
    <mergeCell ref="B27:I27"/>
    <mergeCell ref="B12:C12"/>
    <mergeCell ref="F14:I14"/>
    <mergeCell ref="B18:I18"/>
    <mergeCell ref="D21:E21"/>
    <mergeCell ref="B21:C21"/>
    <mergeCell ref="F21:G21"/>
    <mergeCell ref="H21:I21"/>
    <mergeCell ref="F24:G24"/>
    <mergeCell ref="H25:I25"/>
    <mergeCell ref="B11:C11"/>
    <mergeCell ref="D11:E11"/>
    <mergeCell ref="D13:E13"/>
    <mergeCell ref="F11:I11"/>
    <mergeCell ref="F20:G20"/>
    <mergeCell ref="D20:E20"/>
    <mergeCell ref="F13:I13"/>
    <mergeCell ref="B16:C16"/>
    <mergeCell ref="H20:I20"/>
    <mergeCell ref="B25:C25"/>
    <mergeCell ref="D19:E19"/>
    <mergeCell ref="F19:G19"/>
    <mergeCell ref="F25:G25"/>
    <mergeCell ref="B23:C23"/>
    <mergeCell ref="B14:C14"/>
    <mergeCell ref="F16:I16"/>
    <mergeCell ref="B17:C17"/>
    <mergeCell ref="F23:G23"/>
    <mergeCell ref="D25:E25"/>
    <mergeCell ref="B24:C24"/>
    <mergeCell ref="D24:E24"/>
  </mergeCells>
  <conditionalFormatting sqref="D24">
    <cfRule type="expression" dxfId="45" priority="9">
      <formula>D24&lt;0</formula>
    </cfRule>
  </conditionalFormatting>
  <conditionalFormatting sqref="D11:E16">
    <cfRule type="expression" dxfId="44" priority="1" stopIfTrue="1">
      <formula>AND(DA_THAY&lt;&gt;"Rồi",LEN($K11)&gt;0,$D11=$K11)</formula>
    </cfRule>
  </conditionalFormatting>
  <conditionalFormatting sqref="F20">
    <cfRule type="expression" dxfId="43" priority="7">
      <formula>AND(ISNUMBER(F20),F20&gt;0)</formula>
    </cfRule>
  </conditionalFormatting>
  <conditionalFormatting sqref="F24">
    <cfRule type="expression" dxfId="42" priority="10">
      <formula>F24&gt;0</formula>
    </cfRule>
  </conditionalFormatting>
  <conditionalFormatting sqref="H20">
    <cfRule type="expression" dxfId="41" priority="8">
      <formula>AND(ISNUMBER(H20),H20&gt;0)</formula>
    </cfRule>
  </conditionalFormatting>
  <dataValidations count="2">
    <dataValidation type="list" allowBlank="1" showInputMessage="1" showErrorMessage="1" errorTitle="Không có trong danh sách" error="Chọn một giá trị trong danh sách." promptTitle="Chọn trong danh sách" prompt="Loại sự kiện" sqref="D12" xr:uid="{00000000-0002-0000-0000-000000000000}">
      <formula1>DS_LOAI</formula1>
    </dataValidation>
    <dataValidation type="list" sqref="D17" xr:uid="{00000000-0002-0000-0000-000001000000}">
      <formula1>"Chưa,Rồi"</formula1>
    </dataValidation>
  </dataValidations>
  <printOptions horizontalCentered="1"/>
  <pageMargins left="0.4" right="0.4" top="0.45" bottom="0.55000000000000004" header="0.5" footer="0.5"/>
  <pageSetup paperSize="9" orientation="landscape" r:id="rId1"/>
  <headerFooter scaleWithDoc="0">
    <oddFooter>&amp;C&amp;9 &amp;K98A2B3Mẫu của A.M Agency – amagency.vn&amp;R&amp;9 &amp;K98A2B3Trang &amp;P/&amp;N</oddFooter>
  </headerFooter>
  <rowBreaks count="1" manualBreakCount="1">
    <brk id="25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A6F97"/>
  </sheetPr>
  <dimension ref="A1:AA66"/>
  <sheetViews>
    <sheetView showGridLines="0" zoomScaleNormal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RowHeight="14.5" x14ac:dyDescent="0.35"/>
  <cols>
    <col min="1" max="1" width="5" customWidth="1"/>
    <col min="2" max="2" width="25" customWidth="1"/>
    <col min="3" max="3" width="36" customWidth="1"/>
    <col min="4" max="4" width="17" customWidth="1"/>
    <col min="5" max="5" width="13" customWidth="1"/>
    <col min="6" max="6" width="11" customWidth="1"/>
    <col min="7" max="7" width="5" customWidth="1"/>
    <col min="8" max="8" width="12" customWidth="1"/>
    <col min="9" max="9" width="16" customWidth="1"/>
    <col min="10" max="10" width="18" customWidth="1"/>
    <col min="11" max="11" width="1.453125" customWidth="1"/>
    <col min="12" max="18" width="10.453125" customWidth="1"/>
    <col min="19" max="27" width="13" hidden="1" customWidth="1"/>
  </cols>
  <sheetData>
    <row r="1" spans="1:27" ht="30" customHeight="1" x14ac:dyDescent="0.35">
      <c r="A1" s="66" t="s">
        <v>43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27" ht="28" customHeight="1" x14ac:dyDescent="0.35">
      <c r="A2" s="12" t="s">
        <v>44</v>
      </c>
    </row>
    <row r="3" spans="1:27" ht="32" customHeight="1" x14ac:dyDescent="0.35">
      <c r="A3" s="65" t="str">
        <f ca="1">IF(NGAY_SU_KIEN="","Chưa nhập ngày diễn ra ở sheet 0","Ngày diễn ra "&amp;DAY(NGAY_SU_KIEN)&amp;"/"&amp;MONTH(NGAY_SU_KIEN)&amp;"/"&amp;YEAR(NGAY_SU_KIEN)&amp;" · ngày xem tiến độ "&amp;DAY(NGAY_XEM)&amp;"/"&amp;MONTH(NGAY_XEM)&amp;"/"&amp;YEAR(NGAY_XEM))</f>
        <v>Ngày diễn ra 12/12/2026 · ngày xem tiến độ 25/11/2026</v>
      </c>
      <c r="B3" s="61"/>
      <c r="C3" s="61"/>
      <c r="D3" s="64" t="s">
        <v>45</v>
      </c>
      <c r="E3" s="61"/>
      <c r="F3" s="61"/>
      <c r="G3" s="61"/>
      <c r="H3" s="61"/>
      <c r="I3" s="61"/>
      <c r="J3" s="61"/>
    </row>
    <row r="4" spans="1:27" ht="6" customHeight="1" x14ac:dyDescent="0.35"/>
    <row r="5" spans="1:27" ht="20" customHeight="1" x14ac:dyDescent="0.35">
      <c r="A5" s="13"/>
      <c r="B5" s="13"/>
      <c r="C5" s="13"/>
      <c r="D5" s="13"/>
      <c r="E5" s="13" t="s">
        <v>46</v>
      </c>
      <c r="F5" s="13" t="s">
        <v>47</v>
      </c>
      <c r="G5" s="13"/>
      <c r="H5" s="13"/>
      <c r="I5" s="13"/>
      <c r="J5" s="13"/>
      <c r="L5" s="14" t="str">
        <f>INDEX(DS_TUAN,1)&amp;""</f>
        <v>Tuần -5</v>
      </c>
      <c r="M5" s="14" t="str">
        <f>INDEX(DS_TUAN,2)&amp;""</f>
        <v>Tuần -4</v>
      </c>
      <c r="N5" s="14" t="str">
        <f>INDEX(DS_TUAN,3)&amp;""</f>
        <v>Tuần -3</v>
      </c>
      <c r="O5" s="14" t="str">
        <f>INDEX(DS_TUAN,4)&amp;""</f>
        <v>Tuần -2</v>
      </c>
      <c r="P5" s="14" t="str">
        <f>INDEX(DS_TUAN,5)&amp;""</f>
        <v>Tuần -1</v>
      </c>
      <c r="Q5" s="14" t="str">
        <f>INDEX(DS_TUAN,6)&amp;""</f>
        <v>Tuần diễn ra</v>
      </c>
      <c r="R5" s="14" t="str">
        <f>INDEX(DS_TUAN,7)&amp;""</f>
        <v>Sau sự kiện</v>
      </c>
    </row>
    <row r="6" spans="1:27" ht="26" customHeight="1" x14ac:dyDescent="0.35">
      <c r="A6" s="15" t="s">
        <v>48</v>
      </c>
      <c r="B6" s="15" t="s">
        <v>40</v>
      </c>
      <c r="C6" s="15" t="s">
        <v>49</v>
      </c>
      <c r="D6" s="15" t="s">
        <v>50</v>
      </c>
      <c r="E6" s="15" t="s">
        <v>51</v>
      </c>
      <c r="F6" s="15" t="s">
        <v>52</v>
      </c>
      <c r="G6" s="15" t="s">
        <v>53</v>
      </c>
      <c r="H6" s="15" t="s">
        <v>54</v>
      </c>
      <c r="I6" s="15" t="s">
        <v>55</v>
      </c>
      <c r="J6" s="15" t="s">
        <v>56</v>
      </c>
      <c r="L6" s="16">
        <f>IF(NGAY_SU_KIEN="","",(NGAY_SU_KIEN-WEEKDAY(NGAY_SU_KIEN,2)+1)+7*(-5)+4)</f>
        <v>46332</v>
      </c>
      <c r="M6" s="16">
        <f>IF(NGAY_SU_KIEN="","",(NGAY_SU_KIEN-WEEKDAY(NGAY_SU_KIEN,2)+1)+7*(-4)+4)</f>
        <v>46339</v>
      </c>
      <c r="N6" s="16">
        <f>IF(NGAY_SU_KIEN="","",(NGAY_SU_KIEN-WEEKDAY(NGAY_SU_KIEN,2)+1)+7*(-3)+4)</f>
        <v>46346</v>
      </c>
      <c r="O6" s="16">
        <f>IF(NGAY_SU_KIEN="","",(NGAY_SU_KIEN-WEEKDAY(NGAY_SU_KIEN,2)+1)+7*(-2)+4)</f>
        <v>46353</v>
      </c>
      <c r="P6" s="16">
        <f>IF(NGAY_SU_KIEN="","",(NGAY_SU_KIEN-WEEKDAY(NGAY_SU_KIEN,2)+1)+7*(-1)+4)</f>
        <v>46360</v>
      </c>
      <c r="Q6" s="16">
        <f>IF(NGAY_SU_KIEN="","",NGAY_SU_KIEN)</f>
        <v>46368</v>
      </c>
      <c r="R6" s="16">
        <f>IF(NGAY_SU_KIEN="","",(NGAY_SU_KIEN-WEEKDAY(NGAY_SU_KIEN,2)+1)+7*(1)+4)</f>
        <v>46374</v>
      </c>
    </row>
    <row r="7" spans="1:27" ht="20" customHeight="1" x14ac:dyDescent="0.35">
      <c r="A7" s="17">
        <f>IF(C7="","",COUNTA($C$7:C7))</f>
        <v>1</v>
      </c>
      <c r="B7" s="18" t="s">
        <v>57</v>
      </c>
      <c r="C7" s="5" t="s">
        <v>58</v>
      </c>
      <c r="D7" s="18" t="s">
        <v>59</v>
      </c>
      <c r="E7" s="19" t="s">
        <v>60</v>
      </c>
      <c r="F7" s="20">
        <f t="shared" ref="F7:F38" si="0">IF(OR(C7="",IFERROR(MATCH(E7,DS_TUAN,0),0)=0,NGAY_SU_KIEN=""),"",IF(IFERROR(MATCH(E7,DS_TUAN,0),0)=6,NGAY_SU_KIEN,(NGAY_SU_KIEN-WEEKDAY(NGAY_SU_KIEN,2)+1)+7*IF(IFERROR(MATCH(E7,DS_TUAN,0),0)=7,1,IFERROR(MATCH(E7,DS_TUAN,0),0)-6)+4))</f>
        <v>46339</v>
      </c>
      <c r="G7" s="21" t="str">
        <f t="shared" ref="G7:G38" si="1">IF(F7="","",CHOOSE(WEEKDAY(F7,2),"T2","T3","T4","T5","T6","T7","CN"))</f>
        <v>T6</v>
      </c>
      <c r="H7" s="19" t="s">
        <v>41</v>
      </c>
      <c r="I7" s="21" t="str">
        <f t="shared" ref="I7:I38" si="2">IF(OR(F7="",H7="Xong"),"",IF(F7&lt;NGAY_XEM,"Trễ hạn",IF(F7-NGAY_XEM&lt;=7,"Đến hạn 7 ngày",IF(WEEKDAY(F7,2)=7,"Rơi vào Chủ nhật",""))))</f>
        <v/>
      </c>
      <c r="J7" s="18"/>
      <c r="L7" s="4"/>
      <c r="M7" s="4"/>
      <c r="N7" s="4"/>
      <c r="O7" s="4"/>
      <c r="P7" s="4"/>
      <c r="Q7" s="4"/>
      <c r="R7" s="4"/>
      <c r="U7" t="s">
        <v>57</v>
      </c>
      <c r="V7" t="s">
        <v>58</v>
      </c>
      <c r="W7" t="s">
        <v>59</v>
      </c>
      <c r="X7" t="s">
        <v>60</v>
      </c>
      <c r="Y7" t="s">
        <v>41</v>
      </c>
      <c r="AA7">
        <v>1</v>
      </c>
    </row>
    <row r="8" spans="1:27" ht="20" customHeight="1" x14ac:dyDescent="0.35">
      <c r="A8" s="17">
        <f>IF(C8="","",COUNTA($C$7:C8))</f>
        <v>2</v>
      </c>
      <c r="B8" s="18" t="s">
        <v>61</v>
      </c>
      <c r="C8" s="5" t="s">
        <v>62</v>
      </c>
      <c r="D8" s="18" t="s">
        <v>63</v>
      </c>
      <c r="E8" s="19" t="s">
        <v>60</v>
      </c>
      <c r="F8" s="20">
        <f t="shared" si="0"/>
        <v>46339</v>
      </c>
      <c r="G8" s="21" t="str">
        <f t="shared" si="1"/>
        <v>T6</v>
      </c>
      <c r="H8" s="19" t="s">
        <v>41</v>
      </c>
      <c r="I8" s="21" t="str">
        <f t="shared" si="2"/>
        <v/>
      </c>
      <c r="J8" s="18"/>
      <c r="L8" s="4"/>
      <c r="M8" s="4"/>
      <c r="N8" s="4"/>
      <c r="O8" s="4"/>
      <c r="P8" s="4"/>
      <c r="Q8" s="4"/>
      <c r="R8" s="4"/>
      <c r="U8" t="s">
        <v>61</v>
      </c>
      <c r="V8" t="s">
        <v>62</v>
      </c>
      <c r="W8" t="s">
        <v>63</v>
      </c>
      <c r="X8" t="s">
        <v>60</v>
      </c>
      <c r="Y8" t="s">
        <v>41</v>
      </c>
      <c r="AA8">
        <v>1</v>
      </c>
    </row>
    <row r="9" spans="1:27" ht="20" customHeight="1" x14ac:dyDescent="0.35">
      <c r="A9" s="17">
        <f>IF(C9="","",COUNTA($C$7:C9))</f>
        <v>3</v>
      </c>
      <c r="B9" s="18" t="s">
        <v>64</v>
      </c>
      <c r="C9" s="5" t="s">
        <v>65</v>
      </c>
      <c r="D9" s="18" t="s">
        <v>66</v>
      </c>
      <c r="E9" s="19" t="s">
        <v>60</v>
      </c>
      <c r="F9" s="20">
        <f t="shared" si="0"/>
        <v>46339</v>
      </c>
      <c r="G9" s="21" t="str">
        <f t="shared" si="1"/>
        <v>T6</v>
      </c>
      <c r="H9" s="19" t="s">
        <v>41</v>
      </c>
      <c r="I9" s="21" t="str">
        <f t="shared" si="2"/>
        <v/>
      </c>
      <c r="J9" s="18"/>
      <c r="L9" s="4"/>
      <c r="M9" s="4"/>
      <c r="N9" s="4"/>
      <c r="O9" s="4"/>
      <c r="P9" s="4"/>
      <c r="Q9" s="4"/>
      <c r="R9" s="4"/>
      <c r="U9" t="s">
        <v>64</v>
      </c>
      <c r="V9" t="s">
        <v>65</v>
      </c>
      <c r="W9" t="s">
        <v>66</v>
      </c>
      <c r="X9" t="s">
        <v>60</v>
      </c>
      <c r="Y9" t="s">
        <v>41</v>
      </c>
      <c r="AA9">
        <v>1</v>
      </c>
    </row>
    <row r="10" spans="1:27" ht="20" customHeight="1" x14ac:dyDescent="0.35">
      <c r="A10" s="17">
        <f>IF(C10="","",COUNTA($C$7:C10))</f>
        <v>4</v>
      </c>
      <c r="B10" s="18" t="s">
        <v>67</v>
      </c>
      <c r="C10" s="5" t="s">
        <v>68</v>
      </c>
      <c r="D10" s="18" t="s">
        <v>69</v>
      </c>
      <c r="E10" s="19" t="s">
        <v>70</v>
      </c>
      <c r="F10" s="20">
        <f t="shared" si="0"/>
        <v>46346</v>
      </c>
      <c r="G10" s="21" t="str">
        <f t="shared" si="1"/>
        <v>T6</v>
      </c>
      <c r="H10" s="19" t="s">
        <v>41</v>
      </c>
      <c r="I10" s="21" t="str">
        <f t="shared" si="2"/>
        <v/>
      </c>
      <c r="J10" s="18"/>
      <c r="L10" s="4"/>
      <c r="M10" s="4"/>
      <c r="N10" s="4"/>
      <c r="O10" s="4"/>
      <c r="P10" s="4"/>
      <c r="Q10" s="4"/>
      <c r="R10" s="4"/>
      <c r="U10" t="s">
        <v>67</v>
      </c>
      <c r="V10" t="s">
        <v>68</v>
      </c>
      <c r="W10" t="s">
        <v>69</v>
      </c>
      <c r="X10" t="s">
        <v>70</v>
      </c>
      <c r="Y10" t="s">
        <v>41</v>
      </c>
      <c r="AA10">
        <v>1</v>
      </c>
    </row>
    <row r="11" spans="1:27" ht="20" customHeight="1" x14ac:dyDescent="0.35">
      <c r="A11" s="17">
        <f>IF(C11="","",COUNTA($C$7:C11))</f>
        <v>5</v>
      </c>
      <c r="B11" s="18" t="s">
        <v>64</v>
      </c>
      <c r="C11" s="5" t="s">
        <v>71</v>
      </c>
      <c r="D11" s="18" t="s">
        <v>66</v>
      </c>
      <c r="E11" s="19" t="s">
        <v>70</v>
      </c>
      <c r="F11" s="20">
        <f t="shared" si="0"/>
        <v>46346</v>
      </c>
      <c r="G11" s="21" t="str">
        <f t="shared" si="1"/>
        <v>T6</v>
      </c>
      <c r="H11" s="19" t="s">
        <v>41</v>
      </c>
      <c r="I11" s="21" t="str">
        <f t="shared" si="2"/>
        <v/>
      </c>
      <c r="J11" s="18"/>
      <c r="L11" s="4"/>
      <c r="M11" s="4"/>
      <c r="N11" s="4"/>
      <c r="O11" s="4"/>
      <c r="P11" s="4"/>
      <c r="Q11" s="4"/>
      <c r="R11" s="4"/>
      <c r="U11" t="s">
        <v>64</v>
      </c>
      <c r="V11" t="s">
        <v>71</v>
      </c>
      <c r="W11" t="s">
        <v>66</v>
      </c>
      <c r="X11" t="s">
        <v>70</v>
      </c>
      <c r="Y11" t="s">
        <v>41</v>
      </c>
      <c r="AA11">
        <v>1</v>
      </c>
    </row>
    <row r="12" spans="1:27" ht="20" customHeight="1" x14ac:dyDescent="0.35">
      <c r="A12" s="17">
        <f>IF(C12="","",COUNTA($C$7:C12))</f>
        <v>6</v>
      </c>
      <c r="B12" s="18" t="s">
        <v>64</v>
      </c>
      <c r="C12" s="5" t="s">
        <v>72</v>
      </c>
      <c r="D12" s="18" t="s">
        <v>59</v>
      </c>
      <c r="E12" s="19" t="s">
        <v>70</v>
      </c>
      <c r="F12" s="20">
        <f t="shared" si="0"/>
        <v>46346</v>
      </c>
      <c r="G12" s="21" t="str">
        <f t="shared" si="1"/>
        <v>T6</v>
      </c>
      <c r="H12" s="19" t="s">
        <v>73</v>
      </c>
      <c r="I12" s="21" t="str">
        <f t="shared" ca="1" si="2"/>
        <v>Trễ hạn</v>
      </c>
      <c r="J12" s="18" t="s">
        <v>74</v>
      </c>
      <c r="L12" s="4"/>
      <c r="M12" s="4"/>
      <c r="N12" s="4"/>
      <c r="O12" s="4"/>
      <c r="P12" s="4"/>
      <c r="Q12" s="4"/>
      <c r="R12" s="4"/>
      <c r="U12" t="s">
        <v>64</v>
      </c>
      <c r="V12" t="s">
        <v>72</v>
      </c>
      <c r="W12" t="s">
        <v>59</v>
      </c>
      <c r="X12" t="s">
        <v>70</v>
      </c>
      <c r="Y12" t="s">
        <v>73</v>
      </c>
      <c r="Z12" t="s">
        <v>74</v>
      </c>
      <c r="AA12">
        <v>1</v>
      </c>
    </row>
    <row r="13" spans="1:27" ht="20" customHeight="1" x14ac:dyDescent="0.35">
      <c r="A13" s="17">
        <f>IF(C13="","",COUNTA($C$7:C13))</f>
        <v>7</v>
      </c>
      <c r="B13" s="18" t="s">
        <v>75</v>
      </c>
      <c r="C13" s="5" t="s">
        <v>76</v>
      </c>
      <c r="D13" s="18" t="s">
        <v>63</v>
      </c>
      <c r="E13" s="19" t="s">
        <v>70</v>
      </c>
      <c r="F13" s="20">
        <f t="shared" si="0"/>
        <v>46346</v>
      </c>
      <c r="G13" s="21" t="str">
        <f t="shared" si="1"/>
        <v>T6</v>
      </c>
      <c r="H13" s="19" t="s">
        <v>41</v>
      </c>
      <c r="I13" s="21" t="str">
        <f t="shared" si="2"/>
        <v/>
      </c>
      <c r="J13" s="18"/>
      <c r="L13" s="4"/>
      <c r="M13" s="4"/>
      <c r="N13" s="4"/>
      <c r="O13" s="4"/>
      <c r="P13" s="4"/>
      <c r="Q13" s="4"/>
      <c r="R13" s="4"/>
      <c r="U13" t="s">
        <v>75</v>
      </c>
      <c r="V13" t="s">
        <v>76</v>
      </c>
      <c r="W13" t="s">
        <v>63</v>
      </c>
      <c r="X13" t="s">
        <v>70</v>
      </c>
      <c r="Y13" t="s">
        <v>41</v>
      </c>
      <c r="AA13">
        <v>1</v>
      </c>
    </row>
    <row r="14" spans="1:27" ht="20" customHeight="1" x14ac:dyDescent="0.35">
      <c r="A14" s="17">
        <f>IF(C14="","",COUNTA($C$7:C14))</f>
        <v>8</v>
      </c>
      <c r="B14" s="18" t="s">
        <v>77</v>
      </c>
      <c r="C14" s="5" t="s">
        <v>78</v>
      </c>
      <c r="D14" s="18" t="s">
        <v>79</v>
      </c>
      <c r="E14" s="19" t="s">
        <v>80</v>
      </c>
      <c r="F14" s="20">
        <f t="shared" si="0"/>
        <v>46353</v>
      </c>
      <c r="G14" s="21" t="str">
        <f t="shared" si="1"/>
        <v>T6</v>
      </c>
      <c r="H14" s="19" t="s">
        <v>81</v>
      </c>
      <c r="I14" s="21" t="str">
        <f t="shared" ca="1" si="2"/>
        <v>Đến hạn 7 ngày</v>
      </c>
      <c r="J14" s="18"/>
      <c r="L14" s="4"/>
      <c r="M14" s="4"/>
      <c r="N14" s="4"/>
      <c r="O14" s="4"/>
      <c r="P14" s="4"/>
      <c r="Q14" s="4"/>
      <c r="R14" s="4"/>
      <c r="U14" t="s">
        <v>77</v>
      </c>
      <c r="V14" t="s">
        <v>78</v>
      </c>
      <c r="W14" t="s">
        <v>79</v>
      </c>
      <c r="X14" t="s">
        <v>80</v>
      </c>
      <c r="Y14" t="s">
        <v>81</v>
      </c>
      <c r="AA14">
        <v>1</v>
      </c>
    </row>
    <row r="15" spans="1:27" ht="20" customHeight="1" x14ac:dyDescent="0.35">
      <c r="A15" s="17">
        <f>IF(C15="","",COUNTA($C$7:C15))</f>
        <v>9</v>
      </c>
      <c r="B15" s="18" t="s">
        <v>67</v>
      </c>
      <c r="C15" s="5" t="s">
        <v>82</v>
      </c>
      <c r="D15" s="18" t="s">
        <v>69</v>
      </c>
      <c r="E15" s="19" t="s">
        <v>80</v>
      </c>
      <c r="F15" s="20">
        <f t="shared" si="0"/>
        <v>46353</v>
      </c>
      <c r="G15" s="21" t="str">
        <f t="shared" si="1"/>
        <v>T6</v>
      </c>
      <c r="H15" s="19" t="s">
        <v>83</v>
      </c>
      <c r="I15" s="21" t="str">
        <f t="shared" ca="1" si="2"/>
        <v>Đến hạn 7 ngày</v>
      </c>
      <c r="J15" s="18"/>
      <c r="L15" s="4"/>
      <c r="M15" s="4"/>
      <c r="N15" s="4"/>
      <c r="O15" s="4"/>
      <c r="P15" s="4"/>
      <c r="Q15" s="4"/>
      <c r="R15" s="4"/>
      <c r="U15" t="s">
        <v>67</v>
      </c>
      <c r="V15" t="s">
        <v>82</v>
      </c>
      <c r="W15" t="s">
        <v>69</v>
      </c>
      <c r="X15" t="s">
        <v>80</v>
      </c>
      <c r="Y15" t="s">
        <v>83</v>
      </c>
      <c r="AA15">
        <v>1</v>
      </c>
    </row>
    <row r="16" spans="1:27" ht="20" customHeight="1" x14ac:dyDescent="0.35">
      <c r="A16" s="17">
        <f>IF(C16="","",COUNTA($C$7:C16))</f>
        <v>10</v>
      </c>
      <c r="B16" s="18" t="s">
        <v>69</v>
      </c>
      <c r="C16" s="5" t="s">
        <v>84</v>
      </c>
      <c r="D16" s="18" t="s">
        <v>69</v>
      </c>
      <c r="E16" s="19" t="s">
        <v>80</v>
      </c>
      <c r="F16" s="20">
        <f t="shared" si="0"/>
        <v>46353</v>
      </c>
      <c r="G16" s="21" t="str">
        <f t="shared" si="1"/>
        <v>T6</v>
      </c>
      <c r="H16" s="19" t="s">
        <v>83</v>
      </c>
      <c r="I16" s="21" t="str">
        <f t="shared" ca="1" si="2"/>
        <v>Đến hạn 7 ngày</v>
      </c>
      <c r="J16" s="18"/>
      <c r="L16" s="4"/>
      <c r="M16" s="4"/>
      <c r="N16" s="4"/>
      <c r="O16" s="4"/>
      <c r="P16" s="4"/>
      <c r="Q16" s="4"/>
      <c r="R16" s="4"/>
      <c r="U16" t="s">
        <v>69</v>
      </c>
      <c r="V16" t="s">
        <v>84</v>
      </c>
      <c r="W16" t="s">
        <v>69</v>
      </c>
      <c r="X16" t="s">
        <v>80</v>
      </c>
      <c r="Y16" t="s">
        <v>83</v>
      </c>
      <c r="AA16">
        <v>1</v>
      </c>
    </row>
    <row r="17" spans="1:27" ht="20" customHeight="1" x14ac:dyDescent="0.35">
      <c r="A17" s="17">
        <f>IF(C17="","",COUNTA($C$7:C17))</f>
        <v>11</v>
      </c>
      <c r="B17" s="18" t="s">
        <v>85</v>
      </c>
      <c r="C17" s="5" t="s">
        <v>86</v>
      </c>
      <c r="D17" s="18" t="s">
        <v>87</v>
      </c>
      <c r="E17" s="19" t="s">
        <v>80</v>
      </c>
      <c r="F17" s="20">
        <f t="shared" si="0"/>
        <v>46353</v>
      </c>
      <c r="G17" s="21" t="str">
        <f t="shared" si="1"/>
        <v>T6</v>
      </c>
      <c r="H17" s="19" t="s">
        <v>81</v>
      </c>
      <c r="I17" s="21" t="str">
        <f t="shared" ca="1" si="2"/>
        <v>Đến hạn 7 ngày</v>
      </c>
      <c r="J17" s="18"/>
      <c r="L17" s="4"/>
      <c r="M17" s="4"/>
      <c r="N17" s="4"/>
      <c r="O17" s="4"/>
      <c r="P17" s="4"/>
      <c r="Q17" s="4"/>
      <c r="R17" s="4"/>
      <c r="U17" t="s">
        <v>85</v>
      </c>
      <c r="V17" t="s">
        <v>86</v>
      </c>
      <c r="W17" t="s">
        <v>87</v>
      </c>
      <c r="X17" t="s">
        <v>80</v>
      </c>
      <c r="Y17" t="s">
        <v>81</v>
      </c>
      <c r="AA17">
        <v>1</v>
      </c>
    </row>
    <row r="18" spans="1:27" ht="20" customHeight="1" x14ac:dyDescent="0.35">
      <c r="A18" s="17">
        <f>IF(C18="","",COUNTA($C$7:C18))</f>
        <v>12</v>
      </c>
      <c r="B18" s="18" t="s">
        <v>75</v>
      </c>
      <c r="C18" s="5" t="s">
        <v>88</v>
      </c>
      <c r="D18" s="18" t="s">
        <v>59</v>
      </c>
      <c r="E18" s="19" t="s">
        <v>89</v>
      </c>
      <c r="F18" s="20">
        <f t="shared" si="0"/>
        <v>46360</v>
      </c>
      <c r="G18" s="21" t="str">
        <f t="shared" si="1"/>
        <v>T6</v>
      </c>
      <c r="H18" s="19" t="s">
        <v>83</v>
      </c>
      <c r="I18" s="21" t="str">
        <f t="shared" ca="1" si="2"/>
        <v/>
      </c>
      <c r="J18" s="18"/>
      <c r="L18" s="4"/>
      <c r="M18" s="4"/>
      <c r="N18" s="4"/>
      <c r="O18" s="4"/>
      <c r="P18" s="4"/>
      <c r="Q18" s="4"/>
      <c r="R18" s="4"/>
      <c r="U18" t="s">
        <v>75</v>
      </c>
      <c r="V18" t="s">
        <v>88</v>
      </c>
      <c r="W18" t="s">
        <v>59</v>
      </c>
      <c r="X18" t="s">
        <v>89</v>
      </c>
      <c r="Y18" t="s">
        <v>83</v>
      </c>
      <c r="AA18">
        <v>1</v>
      </c>
    </row>
    <row r="19" spans="1:27" ht="20" customHeight="1" x14ac:dyDescent="0.35">
      <c r="A19" s="17">
        <f>IF(C19="","",COUNTA($C$7:C19))</f>
        <v>13</v>
      </c>
      <c r="B19" s="18" t="s">
        <v>85</v>
      </c>
      <c r="C19" s="5" t="s">
        <v>90</v>
      </c>
      <c r="D19" s="18" t="s">
        <v>87</v>
      </c>
      <c r="E19" s="19" t="s">
        <v>89</v>
      </c>
      <c r="F19" s="20">
        <f t="shared" si="0"/>
        <v>46360</v>
      </c>
      <c r="G19" s="21" t="str">
        <f t="shared" si="1"/>
        <v>T6</v>
      </c>
      <c r="H19" s="19" t="s">
        <v>83</v>
      </c>
      <c r="I19" s="21" t="str">
        <f t="shared" ca="1" si="2"/>
        <v/>
      </c>
      <c r="J19" s="18"/>
      <c r="L19" s="4"/>
      <c r="M19" s="4"/>
      <c r="N19" s="4"/>
      <c r="O19" s="4"/>
      <c r="P19" s="4"/>
      <c r="Q19" s="4"/>
      <c r="R19" s="4"/>
      <c r="U19" t="s">
        <v>85</v>
      </c>
      <c r="V19" t="s">
        <v>90</v>
      </c>
      <c r="W19" t="s">
        <v>87</v>
      </c>
      <c r="X19" t="s">
        <v>89</v>
      </c>
      <c r="Y19" t="s">
        <v>83</v>
      </c>
      <c r="AA19">
        <v>1</v>
      </c>
    </row>
    <row r="20" spans="1:27" ht="20" customHeight="1" x14ac:dyDescent="0.35">
      <c r="A20" s="17">
        <f>IF(C20="","",COUNTA($C$7:C20))</f>
        <v>14</v>
      </c>
      <c r="B20" s="18" t="s">
        <v>91</v>
      </c>
      <c r="C20" s="5" t="s">
        <v>92</v>
      </c>
      <c r="D20" s="18" t="s">
        <v>93</v>
      </c>
      <c r="E20" s="19" t="s">
        <v>89</v>
      </c>
      <c r="F20" s="20">
        <f t="shared" si="0"/>
        <v>46360</v>
      </c>
      <c r="G20" s="21" t="str">
        <f t="shared" si="1"/>
        <v>T6</v>
      </c>
      <c r="H20" s="19" t="s">
        <v>83</v>
      </c>
      <c r="I20" s="21" t="str">
        <f t="shared" ca="1" si="2"/>
        <v/>
      </c>
      <c r="J20" s="18"/>
      <c r="L20" s="4"/>
      <c r="M20" s="4"/>
      <c r="N20" s="4"/>
      <c r="O20" s="4"/>
      <c r="P20" s="4"/>
      <c r="Q20" s="4"/>
      <c r="R20" s="4"/>
      <c r="U20" t="s">
        <v>91</v>
      </c>
      <c r="V20" t="s">
        <v>92</v>
      </c>
      <c r="W20" t="s">
        <v>93</v>
      </c>
      <c r="X20" t="s">
        <v>89</v>
      </c>
      <c r="Y20" t="s">
        <v>83</v>
      </c>
      <c r="AA20">
        <v>1</v>
      </c>
    </row>
    <row r="21" spans="1:27" ht="20" customHeight="1" x14ac:dyDescent="0.35">
      <c r="A21" s="17">
        <f>IF(C21="","",COUNTA($C$7:C21))</f>
        <v>15</v>
      </c>
      <c r="B21" s="18" t="s">
        <v>67</v>
      </c>
      <c r="C21" s="5" t="s">
        <v>94</v>
      </c>
      <c r="D21" s="18" t="s">
        <v>95</v>
      </c>
      <c r="E21" s="19" t="s">
        <v>89</v>
      </c>
      <c r="F21" s="20">
        <f t="shared" si="0"/>
        <v>46360</v>
      </c>
      <c r="G21" s="21" t="str">
        <f t="shared" si="1"/>
        <v>T6</v>
      </c>
      <c r="H21" s="19" t="s">
        <v>83</v>
      </c>
      <c r="I21" s="21" t="str">
        <f t="shared" ca="1" si="2"/>
        <v/>
      </c>
      <c r="J21" s="18"/>
      <c r="L21" s="4"/>
      <c r="M21" s="4"/>
      <c r="N21" s="4"/>
      <c r="O21" s="4"/>
      <c r="P21" s="4"/>
      <c r="Q21" s="4"/>
      <c r="R21" s="4"/>
      <c r="U21" t="s">
        <v>67</v>
      </c>
      <c r="V21" t="s">
        <v>94</v>
      </c>
      <c r="W21" t="s">
        <v>95</v>
      </c>
      <c r="X21" t="s">
        <v>89</v>
      </c>
      <c r="Y21" t="s">
        <v>83</v>
      </c>
      <c r="AA21">
        <v>1</v>
      </c>
    </row>
    <row r="22" spans="1:27" ht="20" customHeight="1" x14ac:dyDescent="0.35">
      <c r="A22" s="17">
        <f>IF(C22="","",COUNTA($C$7:C22))</f>
        <v>16</v>
      </c>
      <c r="B22" s="18" t="s">
        <v>96</v>
      </c>
      <c r="C22" s="5" t="s">
        <v>97</v>
      </c>
      <c r="D22" s="18" t="s">
        <v>59</v>
      </c>
      <c r="E22" s="19" t="s">
        <v>98</v>
      </c>
      <c r="F22" s="20">
        <f t="shared" si="0"/>
        <v>46368</v>
      </c>
      <c r="G22" s="21" t="str">
        <f t="shared" si="1"/>
        <v>T7</v>
      </c>
      <c r="H22" s="19" t="s">
        <v>83</v>
      </c>
      <c r="I22" s="21" t="str">
        <f t="shared" ca="1" si="2"/>
        <v/>
      </c>
      <c r="J22" s="18"/>
      <c r="L22" s="4"/>
      <c r="M22" s="4"/>
      <c r="N22" s="4"/>
      <c r="O22" s="4"/>
      <c r="P22" s="4"/>
      <c r="Q22" s="4"/>
      <c r="R22" s="4"/>
      <c r="U22" t="s">
        <v>96</v>
      </c>
      <c r="V22" t="s">
        <v>97</v>
      </c>
      <c r="W22" t="s">
        <v>59</v>
      </c>
      <c r="X22" t="s">
        <v>98</v>
      </c>
      <c r="Y22" t="s">
        <v>83</v>
      </c>
      <c r="AA22">
        <v>1</v>
      </c>
    </row>
    <row r="23" spans="1:27" ht="20" customHeight="1" x14ac:dyDescent="0.35">
      <c r="A23" s="17">
        <f>IF(C23="","",COUNTA($C$7:C23))</f>
        <v>17</v>
      </c>
      <c r="B23" s="18" t="s">
        <v>96</v>
      </c>
      <c r="C23" s="5" t="s">
        <v>99</v>
      </c>
      <c r="D23" s="18" t="s">
        <v>87</v>
      </c>
      <c r="E23" s="19" t="s">
        <v>98</v>
      </c>
      <c r="F23" s="20">
        <f t="shared" si="0"/>
        <v>46368</v>
      </c>
      <c r="G23" s="21" t="str">
        <f t="shared" si="1"/>
        <v>T7</v>
      </c>
      <c r="H23" s="19" t="s">
        <v>83</v>
      </c>
      <c r="I23" s="21" t="str">
        <f t="shared" ca="1" si="2"/>
        <v/>
      </c>
      <c r="J23" s="18"/>
      <c r="L23" s="4"/>
      <c r="M23" s="4"/>
      <c r="N23" s="4"/>
      <c r="O23" s="4"/>
      <c r="P23" s="4"/>
      <c r="Q23" s="4"/>
      <c r="R23" s="4"/>
      <c r="U23" t="s">
        <v>96</v>
      </c>
      <c r="V23" t="s">
        <v>99</v>
      </c>
      <c r="W23" t="s">
        <v>87</v>
      </c>
      <c r="X23" t="s">
        <v>98</v>
      </c>
      <c r="Y23" t="s">
        <v>83</v>
      </c>
      <c r="AA23">
        <v>1</v>
      </c>
    </row>
    <row r="24" spans="1:27" ht="20" customHeight="1" x14ac:dyDescent="0.35">
      <c r="A24" s="17">
        <f>IF(C24="","",COUNTA($C$7:C24))</f>
        <v>18</v>
      </c>
      <c r="B24" s="18" t="s">
        <v>96</v>
      </c>
      <c r="C24" s="5" t="s">
        <v>100</v>
      </c>
      <c r="D24" s="18" t="s">
        <v>69</v>
      </c>
      <c r="E24" s="19" t="s">
        <v>101</v>
      </c>
      <c r="F24" s="20">
        <f t="shared" si="0"/>
        <v>46374</v>
      </c>
      <c r="G24" s="21" t="str">
        <f t="shared" si="1"/>
        <v>T6</v>
      </c>
      <c r="H24" s="19" t="s">
        <v>83</v>
      </c>
      <c r="I24" s="21" t="str">
        <f t="shared" ca="1" si="2"/>
        <v/>
      </c>
      <c r="J24" s="18"/>
      <c r="L24" s="4"/>
      <c r="M24" s="4"/>
      <c r="N24" s="4"/>
      <c r="O24" s="4"/>
      <c r="P24" s="4"/>
      <c r="Q24" s="4"/>
      <c r="R24" s="4"/>
      <c r="U24" t="s">
        <v>96</v>
      </c>
      <c r="V24" t="s">
        <v>100</v>
      </c>
      <c r="W24" t="s">
        <v>69</v>
      </c>
      <c r="X24" t="s">
        <v>101</v>
      </c>
      <c r="Y24" t="s">
        <v>83</v>
      </c>
      <c r="AA24">
        <v>1</v>
      </c>
    </row>
    <row r="25" spans="1:27" ht="20" customHeight="1" x14ac:dyDescent="0.35">
      <c r="A25" s="17" t="str">
        <f>IF(C25="","",COUNTA($C$7:C25))</f>
        <v/>
      </c>
      <c r="B25" s="18"/>
      <c r="C25" s="5"/>
      <c r="D25" s="18"/>
      <c r="E25" s="19"/>
      <c r="F25" s="20" t="str">
        <f t="shared" si="0"/>
        <v/>
      </c>
      <c r="G25" s="21" t="str">
        <f t="shared" si="1"/>
        <v/>
      </c>
      <c r="H25" s="19"/>
      <c r="I25" s="21" t="str">
        <f t="shared" si="2"/>
        <v/>
      </c>
      <c r="J25" s="18"/>
      <c r="L25" s="4"/>
      <c r="M25" s="4"/>
      <c r="N25" s="4"/>
      <c r="O25" s="4"/>
      <c r="P25" s="4"/>
      <c r="Q25" s="4"/>
      <c r="R25" s="4"/>
      <c r="AA25">
        <v>0</v>
      </c>
    </row>
    <row r="26" spans="1:27" ht="20" customHeight="1" x14ac:dyDescent="0.35">
      <c r="A26" s="17" t="str">
        <f>IF(C26="","",COUNTA($C$7:C26))</f>
        <v/>
      </c>
      <c r="B26" s="18"/>
      <c r="C26" s="5"/>
      <c r="D26" s="18"/>
      <c r="E26" s="19"/>
      <c r="F26" s="20" t="str">
        <f t="shared" si="0"/>
        <v/>
      </c>
      <c r="G26" s="21" t="str">
        <f t="shared" si="1"/>
        <v/>
      </c>
      <c r="H26" s="19"/>
      <c r="I26" s="21" t="str">
        <f t="shared" si="2"/>
        <v/>
      </c>
      <c r="J26" s="18"/>
      <c r="L26" s="4"/>
      <c r="M26" s="4"/>
      <c r="N26" s="4"/>
      <c r="O26" s="4"/>
      <c r="P26" s="4"/>
      <c r="Q26" s="4"/>
      <c r="R26" s="4"/>
      <c r="AA26">
        <v>0</v>
      </c>
    </row>
    <row r="27" spans="1:27" ht="20" customHeight="1" x14ac:dyDescent="0.35">
      <c r="A27" s="17" t="str">
        <f>IF(C27="","",COUNTA($C$7:C27))</f>
        <v/>
      </c>
      <c r="B27" s="18"/>
      <c r="C27" s="5"/>
      <c r="D27" s="18"/>
      <c r="E27" s="19"/>
      <c r="F27" s="20" t="str">
        <f t="shared" si="0"/>
        <v/>
      </c>
      <c r="G27" s="21" t="str">
        <f t="shared" si="1"/>
        <v/>
      </c>
      <c r="H27" s="19"/>
      <c r="I27" s="21" t="str">
        <f t="shared" si="2"/>
        <v/>
      </c>
      <c r="J27" s="18"/>
      <c r="L27" s="4"/>
      <c r="M27" s="4"/>
      <c r="N27" s="4"/>
      <c r="O27" s="4"/>
      <c r="P27" s="4"/>
      <c r="Q27" s="4"/>
      <c r="R27" s="4"/>
      <c r="AA27">
        <v>0</v>
      </c>
    </row>
    <row r="28" spans="1:27" ht="20" customHeight="1" x14ac:dyDescent="0.35">
      <c r="A28" s="17" t="str">
        <f>IF(C28="","",COUNTA($C$7:C28))</f>
        <v/>
      </c>
      <c r="B28" s="18"/>
      <c r="C28" s="5"/>
      <c r="D28" s="18"/>
      <c r="E28" s="19"/>
      <c r="F28" s="20" t="str">
        <f t="shared" si="0"/>
        <v/>
      </c>
      <c r="G28" s="21" t="str">
        <f t="shared" si="1"/>
        <v/>
      </c>
      <c r="H28" s="19"/>
      <c r="I28" s="21" t="str">
        <f t="shared" si="2"/>
        <v/>
      </c>
      <c r="J28" s="18"/>
      <c r="L28" s="4"/>
      <c r="M28" s="4"/>
      <c r="N28" s="4"/>
      <c r="O28" s="4"/>
      <c r="P28" s="4"/>
      <c r="Q28" s="4"/>
      <c r="R28" s="4"/>
      <c r="AA28">
        <v>0</v>
      </c>
    </row>
    <row r="29" spans="1:27" ht="20" customHeight="1" x14ac:dyDescent="0.35">
      <c r="A29" s="17" t="str">
        <f>IF(C29="","",COUNTA($C$7:C29))</f>
        <v/>
      </c>
      <c r="B29" s="18"/>
      <c r="C29" s="5"/>
      <c r="D29" s="18"/>
      <c r="E29" s="19"/>
      <c r="F29" s="20" t="str">
        <f t="shared" si="0"/>
        <v/>
      </c>
      <c r="G29" s="21" t="str">
        <f t="shared" si="1"/>
        <v/>
      </c>
      <c r="H29" s="19"/>
      <c r="I29" s="21" t="str">
        <f t="shared" si="2"/>
        <v/>
      </c>
      <c r="J29" s="18"/>
      <c r="L29" s="4"/>
      <c r="M29" s="4"/>
      <c r="N29" s="4"/>
      <c r="O29" s="4"/>
      <c r="P29" s="4"/>
      <c r="Q29" s="4"/>
      <c r="R29" s="4"/>
      <c r="AA29">
        <v>0</v>
      </c>
    </row>
    <row r="30" spans="1:27" ht="20" customHeight="1" x14ac:dyDescent="0.35">
      <c r="A30" s="17" t="str">
        <f>IF(C30="","",COUNTA($C$7:C30))</f>
        <v/>
      </c>
      <c r="B30" s="18"/>
      <c r="C30" s="5"/>
      <c r="D30" s="18"/>
      <c r="E30" s="19"/>
      <c r="F30" s="20" t="str">
        <f t="shared" si="0"/>
        <v/>
      </c>
      <c r="G30" s="21" t="str">
        <f t="shared" si="1"/>
        <v/>
      </c>
      <c r="H30" s="19"/>
      <c r="I30" s="21" t="str">
        <f t="shared" si="2"/>
        <v/>
      </c>
      <c r="J30" s="18"/>
      <c r="L30" s="4"/>
      <c r="M30" s="4"/>
      <c r="N30" s="4"/>
      <c r="O30" s="4"/>
      <c r="P30" s="4"/>
      <c r="Q30" s="4"/>
      <c r="R30" s="4"/>
      <c r="AA30">
        <v>0</v>
      </c>
    </row>
    <row r="31" spans="1:27" ht="20" customHeight="1" x14ac:dyDescent="0.35">
      <c r="A31" s="17" t="str">
        <f>IF(C31="","",COUNTA($C$7:C31))</f>
        <v/>
      </c>
      <c r="B31" s="18"/>
      <c r="C31" s="5"/>
      <c r="D31" s="18"/>
      <c r="E31" s="19"/>
      <c r="F31" s="20" t="str">
        <f t="shared" si="0"/>
        <v/>
      </c>
      <c r="G31" s="21" t="str">
        <f t="shared" si="1"/>
        <v/>
      </c>
      <c r="H31" s="19"/>
      <c r="I31" s="21" t="str">
        <f t="shared" si="2"/>
        <v/>
      </c>
      <c r="J31" s="18"/>
      <c r="L31" s="4"/>
      <c r="M31" s="4"/>
      <c r="N31" s="4"/>
      <c r="O31" s="4"/>
      <c r="P31" s="4"/>
      <c r="Q31" s="4"/>
      <c r="R31" s="4"/>
      <c r="AA31">
        <v>0</v>
      </c>
    </row>
    <row r="32" spans="1:27" ht="20" customHeight="1" x14ac:dyDescent="0.35">
      <c r="A32" s="17" t="str">
        <f>IF(C32="","",COUNTA($C$7:C32))</f>
        <v/>
      </c>
      <c r="B32" s="18"/>
      <c r="C32" s="5"/>
      <c r="D32" s="18"/>
      <c r="E32" s="19"/>
      <c r="F32" s="20" t="str">
        <f t="shared" si="0"/>
        <v/>
      </c>
      <c r="G32" s="21" t="str">
        <f t="shared" si="1"/>
        <v/>
      </c>
      <c r="H32" s="19"/>
      <c r="I32" s="21" t="str">
        <f t="shared" si="2"/>
        <v/>
      </c>
      <c r="J32" s="18"/>
      <c r="L32" s="4"/>
      <c r="M32" s="4"/>
      <c r="N32" s="4"/>
      <c r="O32" s="4"/>
      <c r="P32" s="4"/>
      <c r="Q32" s="4"/>
      <c r="R32" s="4"/>
      <c r="AA32">
        <v>0</v>
      </c>
    </row>
    <row r="33" spans="1:27" ht="20" customHeight="1" x14ac:dyDescent="0.35">
      <c r="A33" s="17" t="str">
        <f>IF(C33="","",COUNTA($C$7:C33))</f>
        <v/>
      </c>
      <c r="B33" s="18"/>
      <c r="C33" s="5"/>
      <c r="D33" s="18"/>
      <c r="E33" s="19"/>
      <c r="F33" s="20" t="str">
        <f t="shared" si="0"/>
        <v/>
      </c>
      <c r="G33" s="21" t="str">
        <f t="shared" si="1"/>
        <v/>
      </c>
      <c r="H33" s="19"/>
      <c r="I33" s="21" t="str">
        <f t="shared" si="2"/>
        <v/>
      </c>
      <c r="J33" s="18"/>
      <c r="L33" s="4"/>
      <c r="M33" s="4"/>
      <c r="N33" s="4"/>
      <c r="O33" s="4"/>
      <c r="P33" s="4"/>
      <c r="Q33" s="4"/>
      <c r="R33" s="4"/>
      <c r="AA33">
        <v>0</v>
      </c>
    </row>
    <row r="34" spans="1:27" ht="20" customHeight="1" x14ac:dyDescent="0.35">
      <c r="A34" s="17" t="str">
        <f>IF(C34="","",COUNTA($C$7:C34))</f>
        <v/>
      </c>
      <c r="B34" s="18"/>
      <c r="C34" s="5"/>
      <c r="D34" s="18"/>
      <c r="E34" s="19"/>
      <c r="F34" s="20" t="str">
        <f t="shared" si="0"/>
        <v/>
      </c>
      <c r="G34" s="21" t="str">
        <f t="shared" si="1"/>
        <v/>
      </c>
      <c r="H34" s="19"/>
      <c r="I34" s="21" t="str">
        <f t="shared" si="2"/>
        <v/>
      </c>
      <c r="J34" s="18"/>
      <c r="L34" s="4"/>
      <c r="M34" s="4"/>
      <c r="N34" s="4"/>
      <c r="O34" s="4"/>
      <c r="P34" s="4"/>
      <c r="Q34" s="4"/>
      <c r="R34" s="4"/>
      <c r="AA34">
        <v>0</v>
      </c>
    </row>
    <row r="35" spans="1:27" ht="20" customHeight="1" x14ac:dyDescent="0.35">
      <c r="A35" s="17" t="str">
        <f>IF(C35="","",COUNTA($C$7:C35))</f>
        <v/>
      </c>
      <c r="B35" s="18"/>
      <c r="C35" s="5"/>
      <c r="D35" s="18"/>
      <c r="E35" s="19"/>
      <c r="F35" s="20" t="str">
        <f t="shared" si="0"/>
        <v/>
      </c>
      <c r="G35" s="21" t="str">
        <f t="shared" si="1"/>
        <v/>
      </c>
      <c r="H35" s="19"/>
      <c r="I35" s="21" t="str">
        <f t="shared" si="2"/>
        <v/>
      </c>
      <c r="J35" s="18"/>
      <c r="L35" s="4"/>
      <c r="M35" s="4"/>
      <c r="N35" s="4"/>
      <c r="O35" s="4"/>
      <c r="P35" s="4"/>
      <c r="Q35" s="4"/>
      <c r="R35" s="4"/>
      <c r="AA35">
        <v>0</v>
      </c>
    </row>
    <row r="36" spans="1:27" ht="20" customHeight="1" x14ac:dyDescent="0.35">
      <c r="A36" s="17" t="str">
        <f>IF(C36="","",COUNTA($C$7:C36))</f>
        <v/>
      </c>
      <c r="B36" s="18"/>
      <c r="C36" s="5"/>
      <c r="D36" s="18"/>
      <c r="E36" s="19"/>
      <c r="F36" s="20" t="str">
        <f t="shared" si="0"/>
        <v/>
      </c>
      <c r="G36" s="21" t="str">
        <f t="shared" si="1"/>
        <v/>
      </c>
      <c r="H36" s="19"/>
      <c r="I36" s="21" t="str">
        <f t="shared" si="2"/>
        <v/>
      </c>
      <c r="J36" s="18"/>
      <c r="L36" s="4"/>
      <c r="M36" s="4"/>
      <c r="N36" s="4"/>
      <c r="O36" s="4"/>
      <c r="P36" s="4"/>
      <c r="Q36" s="4"/>
      <c r="R36" s="4"/>
      <c r="AA36">
        <v>0</v>
      </c>
    </row>
    <row r="37" spans="1:27" ht="20" customHeight="1" x14ac:dyDescent="0.35">
      <c r="A37" s="17" t="str">
        <f>IF(C37="","",COUNTA($C$7:C37))</f>
        <v/>
      </c>
      <c r="B37" s="18"/>
      <c r="C37" s="5"/>
      <c r="D37" s="18"/>
      <c r="E37" s="19"/>
      <c r="F37" s="20" t="str">
        <f t="shared" si="0"/>
        <v/>
      </c>
      <c r="G37" s="21" t="str">
        <f t="shared" si="1"/>
        <v/>
      </c>
      <c r="H37" s="19"/>
      <c r="I37" s="21" t="str">
        <f t="shared" si="2"/>
        <v/>
      </c>
      <c r="J37" s="18"/>
      <c r="L37" s="4"/>
      <c r="M37" s="4"/>
      <c r="N37" s="4"/>
      <c r="O37" s="4"/>
      <c r="P37" s="4"/>
      <c r="Q37" s="4"/>
      <c r="R37" s="4"/>
      <c r="AA37">
        <v>0</v>
      </c>
    </row>
    <row r="38" spans="1:27" ht="20" customHeight="1" x14ac:dyDescent="0.35">
      <c r="A38" s="17" t="str">
        <f>IF(C38="","",COUNTA($C$7:C38))</f>
        <v/>
      </c>
      <c r="B38" s="18"/>
      <c r="C38" s="5"/>
      <c r="D38" s="18"/>
      <c r="E38" s="19"/>
      <c r="F38" s="20" t="str">
        <f t="shared" si="0"/>
        <v/>
      </c>
      <c r="G38" s="21" t="str">
        <f t="shared" si="1"/>
        <v/>
      </c>
      <c r="H38" s="19"/>
      <c r="I38" s="21" t="str">
        <f t="shared" si="2"/>
        <v/>
      </c>
      <c r="J38" s="18"/>
      <c r="L38" s="4"/>
      <c r="M38" s="4"/>
      <c r="N38" s="4"/>
      <c r="O38" s="4"/>
      <c r="P38" s="4"/>
      <c r="Q38" s="4"/>
      <c r="R38" s="4"/>
      <c r="AA38">
        <v>0</v>
      </c>
    </row>
    <row r="39" spans="1:27" ht="20" customHeight="1" x14ac:dyDescent="0.35">
      <c r="A39" s="17" t="str">
        <f>IF(C39="","",COUNTA($C$7:C39))</f>
        <v/>
      </c>
      <c r="B39" s="18"/>
      <c r="C39" s="5"/>
      <c r="D39" s="18"/>
      <c r="E39" s="19"/>
      <c r="F39" s="20" t="str">
        <f t="shared" ref="F39:F70" si="3">IF(OR(C39="",IFERROR(MATCH(E39,DS_TUAN,0),0)=0,NGAY_SU_KIEN=""),"",IF(IFERROR(MATCH(E39,DS_TUAN,0),0)=6,NGAY_SU_KIEN,(NGAY_SU_KIEN-WEEKDAY(NGAY_SU_KIEN,2)+1)+7*IF(IFERROR(MATCH(E39,DS_TUAN,0),0)=7,1,IFERROR(MATCH(E39,DS_TUAN,0),0)-6)+4))</f>
        <v/>
      </c>
      <c r="G39" s="21" t="str">
        <f t="shared" ref="G39:G70" si="4">IF(F39="","",CHOOSE(WEEKDAY(F39,2),"T2","T3","T4","T5","T6","T7","CN"))</f>
        <v/>
      </c>
      <c r="H39" s="19"/>
      <c r="I39" s="21" t="str">
        <f t="shared" ref="I39:I70" si="5">IF(OR(F39="",H39="Xong"),"",IF(F39&lt;NGAY_XEM,"Trễ hạn",IF(F39-NGAY_XEM&lt;=7,"Đến hạn 7 ngày",IF(WEEKDAY(F39,2)=7,"Rơi vào Chủ nhật",""))))</f>
        <v/>
      </c>
      <c r="J39" s="18"/>
      <c r="L39" s="4"/>
      <c r="M39" s="4"/>
      <c r="N39" s="4"/>
      <c r="O39" s="4"/>
      <c r="P39" s="4"/>
      <c r="Q39" s="4"/>
      <c r="R39" s="4"/>
      <c r="AA39">
        <v>0</v>
      </c>
    </row>
    <row r="40" spans="1:27" ht="20" customHeight="1" x14ac:dyDescent="0.35">
      <c r="A40" s="17" t="str">
        <f>IF(C40="","",COUNTA($C$7:C40))</f>
        <v/>
      </c>
      <c r="B40" s="18"/>
      <c r="C40" s="5"/>
      <c r="D40" s="18"/>
      <c r="E40" s="19"/>
      <c r="F40" s="20" t="str">
        <f t="shared" si="3"/>
        <v/>
      </c>
      <c r="G40" s="21" t="str">
        <f t="shared" si="4"/>
        <v/>
      </c>
      <c r="H40" s="19"/>
      <c r="I40" s="21" t="str">
        <f t="shared" si="5"/>
        <v/>
      </c>
      <c r="J40" s="18"/>
      <c r="L40" s="4"/>
      <c r="M40" s="4"/>
      <c r="N40" s="4"/>
      <c r="O40" s="4"/>
      <c r="P40" s="4"/>
      <c r="Q40" s="4"/>
      <c r="R40" s="4"/>
      <c r="AA40">
        <v>0</v>
      </c>
    </row>
    <row r="41" spans="1:27" ht="20" customHeight="1" x14ac:dyDescent="0.35">
      <c r="A41" s="17" t="str">
        <f>IF(C41="","",COUNTA($C$7:C41))</f>
        <v/>
      </c>
      <c r="B41" s="18"/>
      <c r="C41" s="5"/>
      <c r="D41" s="18"/>
      <c r="E41" s="19"/>
      <c r="F41" s="20" t="str">
        <f t="shared" si="3"/>
        <v/>
      </c>
      <c r="G41" s="21" t="str">
        <f t="shared" si="4"/>
        <v/>
      </c>
      <c r="H41" s="19"/>
      <c r="I41" s="21" t="str">
        <f t="shared" si="5"/>
        <v/>
      </c>
      <c r="J41" s="18"/>
      <c r="L41" s="4"/>
      <c r="M41" s="4"/>
      <c r="N41" s="4"/>
      <c r="O41" s="4"/>
      <c r="P41" s="4"/>
      <c r="Q41" s="4"/>
      <c r="R41" s="4"/>
      <c r="AA41">
        <v>0</v>
      </c>
    </row>
    <row r="42" spans="1:27" ht="20" customHeight="1" x14ac:dyDescent="0.35">
      <c r="A42" s="17" t="str">
        <f>IF(C42="","",COUNTA($C$7:C42))</f>
        <v/>
      </c>
      <c r="B42" s="18"/>
      <c r="C42" s="5"/>
      <c r="D42" s="18"/>
      <c r="E42" s="19"/>
      <c r="F42" s="20" t="str">
        <f t="shared" si="3"/>
        <v/>
      </c>
      <c r="G42" s="21" t="str">
        <f t="shared" si="4"/>
        <v/>
      </c>
      <c r="H42" s="19"/>
      <c r="I42" s="21" t="str">
        <f t="shared" si="5"/>
        <v/>
      </c>
      <c r="J42" s="18"/>
      <c r="L42" s="4"/>
      <c r="M42" s="4"/>
      <c r="N42" s="4"/>
      <c r="O42" s="4"/>
      <c r="P42" s="4"/>
      <c r="Q42" s="4"/>
      <c r="R42" s="4"/>
      <c r="AA42">
        <v>0</v>
      </c>
    </row>
    <row r="43" spans="1:27" ht="20" customHeight="1" x14ac:dyDescent="0.35">
      <c r="A43" s="17" t="str">
        <f>IF(C43="","",COUNTA($C$7:C43))</f>
        <v/>
      </c>
      <c r="B43" s="18"/>
      <c r="C43" s="5"/>
      <c r="D43" s="18"/>
      <c r="E43" s="19"/>
      <c r="F43" s="20" t="str">
        <f t="shared" si="3"/>
        <v/>
      </c>
      <c r="G43" s="21" t="str">
        <f t="shared" si="4"/>
        <v/>
      </c>
      <c r="H43" s="19"/>
      <c r="I43" s="21" t="str">
        <f t="shared" si="5"/>
        <v/>
      </c>
      <c r="J43" s="18"/>
      <c r="L43" s="4"/>
      <c r="M43" s="4"/>
      <c r="N43" s="4"/>
      <c r="O43" s="4"/>
      <c r="P43" s="4"/>
      <c r="Q43" s="4"/>
      <c r="R43" s="4"/>
      <c r="AA43">
        <v>0</v>
      </c>
    </row>
    <row r="44" spans="1:27" ht="20" customHeight="1" x14ac:dyDescent="0.35">
      <c r="A44" s="17" t="str">
        <f>IF(C44="","",COUNTA($C$7:C44))</f>
        <v/>
      </c>
      <c r="B44" s="18"/>
      <c r="C44" s="5"/>
      <c r="D44" s="18"/>
      <c r="E44" s="19"/>
      <c r="F44" s="20" t="str">
        <f t="shared" si="3"/>
        <v/>
      </c>
      <c r="G44" s="21" t="str">
        <f t="shared" si="4"/>
        <v/>
      </c>
      <c r="H44" s="19"/>
      <c r="I44" s="21" t="str">
        <f t="shared" si="5"/>
        <v/>
      </c>
      <c r="J44" s="18"/>
      <c r="L44" s="4"/>
      <c r="M44" s="4"/>
      <c r="N44" s="4"/>
      <c r="O44" s="4"/>
      <c r="P44" s="4"/>
      <c r="Q44" s="4"/>
      <c r="R44" s="4"/>
      <c r="AA44">
        <v>0</v>
      </c>
    </row>
    <row r="45" spans="1:27" ht="20" customHeight="1" x14ac:dyDescent="0.35">
      <c r="A45" s="17" t="str">
        <f>IF(C45="","",COUNTA($C$7:C45))</f>
        <v/>
      </c>
      <c r="B45" s="18"/>
      <c r="C45" s="5"/>
      <c r="D45" s="18"/>
      <c r="E45" s="19"/>
      <c r="F45" s="20" t="str">
        <f t="shared" si="3"/>
        <v/>
      </c>
      <c r="G45" s="21" t="str">
        <f t="shared" si="4"/>
        <v/>
      </c>
      <c r="H45" s="19"/>
      <c r="I45" s="21" t="str">
        <f t="shared" si="5"/>
        <v/>
      </c>
      <c r="J45" s="18"/>
      <c r="L45" s="4"/>
      <c r="M45" s="4"/>
      <c r="N45" s="4"/>
      <c r="O45" s="4"/>
      <c r="P45" s="4"/>
      <c r="Q45" s="4"/>
      <c r="R45" s="4"/>
      <c r="AA45">
        <v>0</v>
      </c>
    </row>
    <row r="46" spans="1:27" ht="20" customHeight="1" x14ac:dyDescent="0.35">
      <c r="A46" s="17" t="str">
        <f>IF(C46="","",COUNTA($C$7:C46))</f>
        <v/>
      </c>
      <c r="B46" s="18"/>
      <c r="C46" s="5"/>
      <c r="D46" s="18"/>
      <c r="E46" s="19"/>
      <c r="F46" s="20" t="str">
        <f t="shared" si="3"/>
        <v/>
      </c>
      <c r="G46" s="21" t="str">
        <f t="shared" si="4"/>
        <v/>
      </c>
      <c r="H46" s="19"/>
      <c r="I46" s="21" t="str">
        <f t="shared" si="5"/>
        <v/>
      </c>
      <c r="J46" s="18"/>
      <c r="L46" s="4"/>
      <c r="M46" s="4"/>
      <c r="N46" s="4"/>
      <c r="O46" s="4"/>
      <c r="P46" s="4"/>
      <c r="Q46" s="4"/>
      <c r="R46" s="4"/>
      <c r="AA46">
        <v>0</v>
      </c>
    </row>
    <row r="47" spans="1:27" ht="20" customHeight="1" x14ac:dyDescent="0.35">
      <c r="A47" s="17" t="str">
        <f>IF(C47="","",COUNTA($C$7:C47))</f>
        <v/>
      </c>
      <c r="B47" s="18"/>
      <c r="C47" s="5"/>
      <c r="D47" s="18"/>
      <c r="E47" s="19"/>
      <c r="F47" s="20" t="str">
        <f t="shared" si="3"/>
        <v/>
      </c>
      <c r="G47" s="21" t="str">
        <f t="shared" si="4"/>
        <v/>
      </c>
      <c r="H47" s="19"/>
      <c r="I47" s="21" t="str">
        <f t="shared" si="5"/>
        <v/>
      </c>
      <c r="J47" s="18"/>
      <c r="L47" s="4"/>
      <c r="M47" s="4"/>
      <c r="N47" s="4"/>
      <c r="O47" s="4"/>
      <c r="P47" s="4"/>
      <c r="Q47" s="4"/>
      <c r="R47" s="4"/>
      <c r="AA47">
        <v>0</v>
      </c>
    </row>
    <row r="48" spans="1:27" ht="20" customHeight="1" x14ac:dyDescent="0.35">
      <c r="A48" s="17" t="str">
        <f>IF(C48="","",COUNTA($C$7:C48))</f>
        <v/>
      </c>
      <c r="B48" s="18"/>
      <c r="C48" s="5"/>
      <c r="D48" s="18"/>
      <c r="E48" s="19"/>
      <c r="F48" s="20" t="str">
        <f t="shared" si="3"/>
        <v/>
      </c>
      <c r="G48" s="21" t="str">
        <f t="shared" si="4"/>
        <v/>
      </c>
      <c r="H48" s="19"/>
      <c r="I48" s="21" t="str">
        <f t="shared" si="5"/>
        <v/>
      </c>
      <c r="J48" s="18"/>
      <c r="L48" s="4"/>
      <c r="M48" s="4"/>
      <c r="N48" s="4"/>
      <c r="O48" s="4"/>
      <c r="P48" s="4"/>
      <c r="Q48" s="4"/>
      <c r="R48" s="4"/>
      <c r="AA48">
        <v>0</v>
      </c>
    </row>
    <row r="49" spans="1:27" ht="20" customHeight="1" x14ac:dyDescent="0.35">
      <c r="A49" s="17" t="str">
        <f>IF(C49="","",COUNTA($C$7:C49))</f>
        <v/>
      </c>
      <c r="B49" s="18"/>
      <c r="C49" s="5"/>
      <c r="D49" s="18"/>
      <c r="E49" s="19"/>
      <c r="F49" s="20" t="str">
        <f t="shared" si="3"/>
        <v/>
      </c>
      <c r="G49" s="21" t="str">
        <f t="shared" si="4"/>
        <v/>
      </c>
      <c r="H49" s="19"/>
      <c r="I49" s="21" t="str">
        <f t="shared" si="5"/>
        <v/>
      </c>
      <c r="J49" s="18"/>
      <c r="L49" s="4"/>
      <c r="M49" s="4"/>
      <c r="N49" s="4"/>
      <c r="O49" s="4"/>
      <c r="P49" s="4"/>
      <c r="Q49" s="4"/>
      <c r="R49" s="4"/>
      <c r="AA49">
        <v>0</v>
      </c>
    </row>
    <row r="50" spans="1:27" ht="20" customHeight="1" x14ac:dyDescent="0.35">
      <c r="A50" s="17" t="str">
        <f>IF(C50="","",COUNTA($C$7:C50))</f>
        <v/>
      </c>
      <c r="B50" s="18"/>
      <c r="C50" s="5"/>
      <c r="D50" s="18"/>
      <c r="E50" s="19"/>
      <c r="F50" s="20" t="str">
        <f t="shared" si="3"/>
        <v/>
      </c>
      <c r="G50" s="21" t="str">
        <f t="shared" si="4"/>
        <v/>
      </c>
      <c r="H50" s="19"/>
      <c r="I50" s="21" t="str">
        <f t="shared" si="5"/>
        <v/>
      </c>
      <c r="J50" s="18"/>
      <c r="L50" s="4"/>
      <c r="M50" s="4"/>
      <c r="N50" s="4"/>
      <c r="O50" s="4"/>
      <c r="P50" s="4"/>
      <c r="Q50" s="4"/>
      <c r="R50" s="4"/>
      <c r="AA50">
        <v>0</v>
      </c>
    </row>
    <row r="51" spans="1:27" ht="20" customHeight="1" x14ac:dyDescent="0.35">
      <c r="A51" s="17" t="str">
        <f>IF(C51="","",COUNTA($C$7:C51))</f>
        <v/>
      </c>
      <c r="B51" s="18"/>
      <c r="C51" s="5"/>
      <c r="D51" s="18"/>
      <c r="E51" s="19"/>
      <c r="F51" s="20" t="str">
        <f t="shared" si="3"/>
        <v/>
      </c>
      <c r="G51" s="21" t="str">
        <f t="shared" si="4"/>
        <v/>
      </c>
      <c r="H51" s="19"/>
      <c r="I51" s="21" t="str">
        <f t="shared" si="5"/>
        <v/>
      </c>
      <c r="J51" s="18"/>
      <c r="L51" s="4"/>
      <c r="M51" s="4"/>
      <c r="N51" s="4"/>
      <c r="O51" s="4"/>
      <c r="P51" s="4"/>
      <c r="Q51" s="4"/>
      <c r="R51" s="4"/>
      <c r="AA51">
        <v>0</v>
      </c>
    </row>
    <row r="52" spans="1:27" ht="20" customHeight="1" x14ac:dyDescent="0.35">
      <c r="A52" s="17" t="str">
        <f>IF(C52="","",COUNTA($C$7:C52))</f>
        <v/>
      </c>
      <c r="B52" s="18"/>
      <c r="C52" s="5"/>
      <c r="D52" s="18"/>
      <c r="E52" s="19"/>
      <c r="F52" s="20" t="str">
        <f t="shared" si="3"/>
        <v/>
      </c>
      <c r="G52" s="21" t="str">
        <f t="shared" si="4"/>
        <v/>
      </c>
      <c r="H52" s="19"/>
      <c r="I52" s="21" t="str">
        <f t="shared" si="5"/>
        <v/>
      </c>
      <c r="J52" s="18"/>
      <c r="L52" s="4"/>
      <c r="M52" s="4"/>
      <c r="N52" s="4"/>
      <c r="O52" s="4"/>
      <c r="P52" s="4"/>
      <c r="Q52" s="4"/>
      <c r="R52" s="4"/>
      <c r="AA52">
        <v>0</v>
      </c>
    </row>
    <row r="53" spans="1:27" ht="20" customHeight="1" x14ac:dyDescent="0.35">
      <c r="A53" s="17" t="str">
        <f>IF(C53="","",COUNTA($C$7:C53))</f>
        <v/>
      </c>
      <c r="B53" s="18"/>
      <c r="C53" s="5"/>
      <c r="D53" s="18"/>
      <c r="E53" s="19"/>
      <c r="F53" s="20" t="str">
        <f t="shared" si="3"/>
        <v/>
      </c>
      <c r="G53" s="21" t="str">
        <f t="shared" si="4"/>
        <v/>
      </c>
      <c r="H53" s="19"/>
      <c r="I53" s="21" t="str">
        <f t="shared" si="5"/>
        <v/>
      </c>
      <c r="J53" s="18"/>
      <c r="L53" s="4"/>
      <c r="M53" s="4"/>
      <c r="N53" s="4"/>
      <c r="O53" s="4"/>
      <c r="P53" s="4"/>
      <c r="Q53" s="4"/>
      <c r="R53" s="4"/>
      <c r="AA53">
        <v>0</v>
      </c>
    </row>
    <row r="54" spans="1:27" ht="20" customHeight="1" x14ac:dyDescent="0.35">
      <c r="A54" s="17" t="str">
        <f>IF(C54="","",COUNTA($C$7:C54))</f>
        <v/>
      </c>
      <c r="B54" s="18"/>
      <c r="C54" s="5"/>
      <c r="D54" s="18"/>
      <c r="E54" s="19"/>
      <c r="F54" s="20" t="str">
        <f t="shared" si="3"/>
        <v/>
      </c>
      <c r="G54" s="21" t="str">
        <f t="shared" si="4"/>
        <v/>
      </c>
      <c r="H54" s="19"/>
      <c r="I54" s="21" t="str">
        <f t="shared" si="5"/>
        <v/>
      </c>
      <c r="J54" s="18"/>
      <c r="L54" s="4"/>
      <c r="M54" s="4"/>
      <c r="N54" s="4"/>
      <c r="O54" s="4"/>
      <c r="P54" s="4"/>
      <c r="Q54" s="4"/>
      <c r="R54" s="4"/>
      <c r="AA54">
        <v>0</v>
      </c>
    </row>
    <row r="55" spans="1:27" ht="20" customHeight="1" x14ac:dyDescent="0.35">
      <c r="A55" s="17" t="str">
        <f>IF(C55="","",COUNTA($C$7:C55))</f>
        <v/>
      </c>
      <c r="B55" s="18"/>
      <c r="C55" s="5"/>
      <c r="D55" s="18"/>
      <c r="E55" s="19"/>
      <c r="F55" s="20" t="str">
        <f t="shared" si="3"/>
        <v/>
      </c>
      <c r="G55" s="21" t="str">
        <f t="shared" si="4"/>
        <v/>
      </c>
      <c r="H55" s="19"/>
      <c r="I55" s="21" t="str">
        <f t="shared" si="5"/>
        <v/>
      </c>
      <c r="J55" s="18"/>
      <c r="L55" s="4"/>
      <c r="M55" s="4"/>
      <c r="N55" s="4"/>
      <c r="O55" s="4"/>
      <c r="P55" s="4"/>
      <c r="Q55" s="4"/>
      <c r="R55" s="4"/>
      <c r="AA55">
        <v>0</v>
      </c>
    </row>
    <row r="56" spans="1:27" ht="20" customHeight="1" x14ac:dyDescent="0.35">
      <c r="A56" s="17" t="str">
        <f>IF(C56="","",COUNTA($C$7:C56))</f>
        <v/>
      </c>
      <c r="B56" s="18"/>
      <c r="C56" s="5"/>
      <c r="D56" s="18"/>
      <c r="E56" s="19"/>
      <c r="F56" s="20" t="str">
        <f t="shared" si="3"/>
        <v/>
      </c>
      <c r="G56" s="21" t="str">
        <f t="shared" si="4"/>
        <v/>
      </c>
      <c r="H56" s="19"/>
      <c r="I56" s="21" t="str">
        <f t="shared" si="5"/>
        <v/>
      </c>
      <c r="J56" s="18"/>
      <c r="L56" s="4"/>
      <c r="M56" s="4"/>
      <c r="N56" s="4"/>
      <c r="O56" s="4"/>
      <c r="P56" s="4"/>
      <c r="Q56" s="4"/>
      <c r="R56" s="4"/>
      <c r="AA56">
        <v>0</v>
      </c>
    </row>
    <row r="57" spans="1:27" ht="20" customHeight="1" x14ac:dyDescent="0.35">
      <c r="A57" s="17" t="str">
        <f>IF(C57="","",COUNTA($C$7:C57))</f>
        <v/>
      </c>
      <c r="B57" s="18"/>
      <c r="C57" s="5"/>
      <c r="D57" s="18"/>
      <c r="E57" s="19"/>
      <c r="F57" s="20" t="str">
        <f t="shared" si="3"/>
        <v/>
      </c>
      <c r="G57" s="21" t="str">
        <f t="shared" si="4"/>
        <v/>
      </c>
      <c r="H57" s="19"/>
      <c r="I57" s="21" t="str">
        <f t="shared" si="5"/>
        <v/>
      </c>
      <c r="J57" s="18"/>
      <c r="L57" s="4"/>
      <c r="M57" s="4"/>
      <c r="N57" s="4"/>
      <c r="O57" s="4"/>
      <c r="P57" s="4"/>
      <c r="Q57" s="4"/>
      <c r="R57" s="4"/>
      <c r="AA57">
        <v>0</v>
      </c>
    </row>
    <row r="58" spans="1:27" ht="20" customHeight="1" x14ac:dyDescent="0.35">
      <c r="A58" s="17" t="str">
        <f>IF(C58="","",COUNTA($C$7:C58))</f>
        <v/>
      </c>
      <c r="B58" s="18"/>
      <c r="C58" s="5"/>
      <c r="D58" s="18"/>
      <c r="E58" s="19"/>
      <c r="F58" s="20" t="str">
        <f t="shared" si="3"/>
        <v/>
      </c>
      <c r="G58" s="21" t="str">
        <f t="shared" si="4"/>
        <v/>
      </c>
      <c r="H58" s="19"/>
      <c r="I58" s="21" t="str">
        <f t="shared" si="5"/>
        <v/>
      </c>
      <c r="J58" s="18"/>
      <c r="L58" s="4"/>
      <c r="M58" s="4"/>
      <c r="N58" s="4"/>
      <c r="O58" s="4"/>
      <c r="P58" s="4"/>
      <c r="Q58" s="4"/>
      <c r="R58" s="4"/>
      <c r="AA58">
        <v>0</v>
      </c>
    </row>
    <row r="59" spans="1:27" ht="20" customHeight="1" x14ac:dyDescent="0.35">
      <c r="A59" s="17" t="str">
        <f>IF(C59="","",COUNTA($C$7:C59))</f>
        <v/>
      </c>
      <c r="B59" s="18"/>
      <c r="C59" s="5"/>
      <c r="D59" s="18"/>
      <c r="E59" s="19"/>
      <c r="F59" s="20" t="str">
        <f t="shared" si="3"/>
        <v/>
      </c>
      <c r="G59" s="21" t="str">
        <f t="shared" si="4"/>
        <v/>
      </c>
      <c r="H59" s="19"/>
      <c r="I59" s="21" t="str">
        <f t="shared" si="5"/>
        <v/>
      </c>
      <c r="J59" s="18"/>
      <c r="L59" s="4"/>
      <c r="M59" s="4"/>
      <c r="N59" s="4"/>
      <c r="O59" s="4"/>
      <c r="P59" s="4"/>
      <c r="Q59" s="4"/>
      <c r="R59" s="4"/>
      <c r="AA59">
        <v>0</v>
      </c>
    </row>
    <row r="60" spans="1:27" ht="20" customHeight="1" x14ac:dyDescent="0.35">
      <c r="A60" s="17" t="str">
        <f>IF(C60="","",COUNTA($C$7:C60))</f>
        <v/>
      </c>
      <c r="B60" s="18"/>
      <c r="C60" s="5"/>
      <c r="D60" s="18"/>
      <c r="E60" s="19"/>
      <c r="F60" s="20" t="str">
        <f t="shared" si="3"/>
        <v/>
      </c>
      <c r="G60" s="21" t="str">
        <f t="shared" si="4"/>
        <v/>
      </c>
      <c r="H60" s="19"/>
      <c r="I60" s="21" t="str">
        <f t="shared" si="5"/>
        <v/>
      </c>
      <c r="J60" s="18"/>
      <c r="L60" s="4"/>
      <c r="M60" s="4"/>
      <c r="N60" s="4"/>
      <c r="O60" s="4"/>
      <c r="P60" s="4"/>
      <c r="Q60" s="4"/>
      <c r="R60" s="4"/>
      <c r="AA60">
        <v>0</v>
      </c>
    </row>
    <row r="61" spans="1:27" ht="20" customHeight="1" x14ac:dyDescent="0.35">
      <c r="A61" s="17" t="str">
        <f>IF(C61="","",COUNTA($C$7:C61))</f>
        <v/>
      </c>
      <c r="B61" s="18"/>
      <c r="C61" s="5"/>
      <c r="D61" s="18"/>
      <c r="E61" s="19"/>
      <c r="F61" s="20" t="str">
        <f t="shared" si="3"/>
        <v/>
      </c>
      <c r="G61" s="21" t="str">
        <f t="shared" si="4"/>
        <v/>
      </c>
      <c r="H61" s="19"/>
      <c r="I61" s="21" t="str">
        <f t="shared" si="5"/>
        <v/>
      </c>
      <c r="J61" s="18"/>
      <c r="L61" s="4"/>
      <c r="M61" s="4"/>
      <c r="N61" s="4"/>
      <c r="O61" s="4"/>
      <c r="P61" s="4"/>
      <c r="Q61" s="4"/>
      <c r="R61" s="4"/>
      <c r="AA61">
        <v>0</v>
      </c>
    </row>
    <row r="62" spans="1:27" ht="20" customHeight="1" x14ac:dyDescent="0.35">
      <c r="A62" s="17" t="str">
        <f>IF(C62="","",COUNTA($C$7:C62))</f>
        <v/>
      </c>
      <c r="B62" s="18"/>
      <c r="C62" s="5"/>
      <c r="D62" s="18"/>
      <c r="E62" s="19"/>
      <c r="F62" s="20" t="str">
        <f t="shared" si="3"/>
        <v/>
      </c>
      <c r="G62" s="21" t="str">
        <f t="shared" si="4"/>
        <v/>
      </c>
      <c r="H62" s="19"/>
      <c r="I62" s="21" t="str">
        <f t="shared" si="5"/>
        <v/>
      </c>
      <c r="J62" s="18"/>
      <c r="L62" s="4"/>
      <c r="M62" s="4"/>
      <c r="N62" s="4"/>
      <c r="O62" s="4"/>
      <c r="P62" s="4"/>
      <c r="Q62" s="4"/>
      <c r="R62" s="4"/>
      <c r="AA62">
        <v>0</v>
      </c>
    </row>
    <row r="63" spans="1:27" ht="20" customHeight="1" x14ac:dyDescent="0.35">
      <c r="A63" s="17" t="str">
        <f>IF(C63="","",COUNTA($C$7:C63))</f>
        <v/>
      </c>
      <c r="B63" s="18"/>
      <c r="C63" s="5"/>
      <c r="D63" s="18"/>
      <c r="E63" s="19"/>
      <c r="F63" s="20" t="str">
        <f t="shared" si="3"/>
        <v/>
      </c>
      <c r="G63" s="21" t="str">
        <f t="shared" si="4"/>
        <v/>
      </c>
      <c r="H63" s="19"/>
      <c r="I63" s="21" t="str">
        <f t="shared" si="5"/>
        <v/>
      </c>
      <c r="J63" s="18"/>
      <c r="L63" s="4"/>
      <c r="M63" s="4"/>
      <c r="N63" s="4"/>
      <c r="O63" s="4"/>
      <c r="P63" s="4"/>
      <c r="Q63" s="4"/>
      <c r="R63" s="4"/>
      <c r="AA63">
        <v>0</v>
      </c>
    </row>
    <row r="64" spans="1:27" ht="20" customHeight="1" x14ac:dyDescent="0.35">
      <c r="A64" s="17" t="str">
        <f>IF(C64="","",COUNTA($C$7:C64))</f>
        <v/>
      </c>
      <c r="B64" s="18"/>
      <c r="C64" s="5"/>
      <c r="D64" s="18"/>
      <c r="E64" s="19"/>
      <c r="F64" s="20" t="str">
        <f t="shared" si="3"/>
        <v/>
      </c>
      <c r="G64" s="21" t="str">
        <f t="shared" si="4"/>
        <v/>
      </c>
      <c r="H64" s="19"/>
      <c r="I64" s="21" t="str">
        <f t="shared" si="5"/>
        <v/>
      </c>
      <c r="J64" s="18"/>
      <c r="L64" s="4"/>
      <c r="M64" s="4"/>
      <c r="N64" s="4"/>
      <c r="O64" s="4"/>
      <c r="P64" s="4"/>
      <c r="Q64" s="4"/>
      <c r="R64" s="4"/>
      <c r="AA64">
        <v>0</v>
      </c>
    </row>
    <row r="65" spans="1:27" ht="20" customHeight="1" x14ac:dyDescent="0.35">
      <c r="A65" s="17" t="str">
        <f>IF(C65="","",COUNTA($C$7:C65))</f>
        <v/>
      </c>
      <c r="B65" s="18"/>
      <c r="C65" s="5"/>
      <c r="D65" s="18"/>
      <c r="E65" s="19"/>
      <c r="F65" s="20" t="str">
        <f t="shared" si="3"/>
        <v/>
      </c>
      <c r="G65" s="21" t="str">
        <f t="shared" si="4"/>
        <v/>
      </c>
      <c r="H65" s="19"/>
      <c r="I65" s="21" t="str">
        <f t="shared" si="5"/>
        <v/>
      </c>
      <c r="J65" s="18"/>
      <c r="L65" s="4"/>
      <c r="M65" s="4"/>
      <c r="N65" s="4"/>
      <c r="O65" s="4"/>
      <c r="P65" s="4"/>
      <c r="Q65" s="4"/>
      <c r="R65" s="4"/>
      <c r="AA65">
        <v>0</v>
      </c>
    </row>
    <row r="66" spans="1:27" ht="20" customHeight="1" x14ac:dyDescent="0.35">
      <c r="A66" s="17" t="str">
        <f>IF(C66="","",COUNTA($C$7:C66))</f>
        <v/>
      </c>
      <c r="B66" s="18"/>
      <c r="C66" s="5"/>
      <c r="D66" s="18"/>
      <c r="E66" s="19"/>
      <c r="F66" s="20" t="str">
        <f t="shared" si="3"/>
        <v/>
      </c>
      <c r="G66" s="21" t="str">
        <f t="shared" si="4"/>
        <v/>
      </c>
      <c r="H66" s="19"/>
      <c r="I66" s="21" t="str">
        <f t="shared" si="5"/>
        <v/>
      </c>
      <c r="J66" s="18"/>
      <c r="L66" s="4"/>
      <c r="M66" s="4"/>
      <c r="N66" s="4"/>
      <c r="O66" s="4"/>
      <c r="P66" s="4"/>
      <c r="Q66" s="4"/>
      <c r="R66" s="4"/>
      <c r="AA66">
        <v>0</v>
      </c>
    </row>
  </sheetData>
  <sheetProtection sheet="1" objects="1" scenarios="1" formatColumns="0" formatRows="0" autoFilter="0"/>
  <autoFilter ref="A6:J66" xr:uid="{00000000-0009-0000-0000-000001000000}"/>
  <mergeCells count="3">
    <mergeCell ref="D3:J3"/>
    <mergeCell ref="A3:C3"/>
    <mergeCell ref="A1:R1"/>
  </mergeCells>
  <conditionalFormatting sqref="A7:A66 F7:G66">
    <cfRule type="expression" dxfId="40" priority="13">
      <formula>$H7="Xong"</formula>
    </cfRule>
  </conditionalFormatting>
  <conditionalFormatting sqref="B7:B66">
    <cfRule type="expression" dxfId="39" priority="1" stopIfTrue="1">
      <formula>AND(DA_THAY&lt;&gt;"Rồi",$AA7=1,B7=$U7)</formula>
    </cfRule>
  </conditionalFormatting>
  <conditionalFormatting sqref="C7:C66">
    <cfRule type="expression" dxfId="38" priority="2" stopIfTrue="1">
      <formula>AND(DA_THAY&lt;&gt;"Rồi",$AA7=1,C7=$V7)</formula>
    </cfRule>
  </conditionalFormatting>
  <conditionalFormatting sqref="D7:D66">
    <cfRule type="expression" dxfId="37" priority="3" stopIfTrue="1">
      <formula>AND(DA_THAY&lt;&gt;"Rồi",$AA7=1,D7=$W7)</formula>
    </cfRule>
  </conditionalFormatting>
  <conditionalFormatting sqref="E7:E66">
    <cfRule type="expression" dxfId="36" priority="4" stopIfTrue="1">
      <formula>AND(DA_THAY&lt;&gt;"Rồi",$AA7=1,E7=$X7)</formula>
    </cfRule>
  </conditionalFormatting>
  <conditionalFormatting sqref="H7:H66">
    <cfRule type="expression" dxfId="35" priority="5" stopIfTrue="1">
      <formula>AND(DA_THAY&lt;&gt;"Rồi",$AA7=1,H7=$Y7)</formula>
    </cfRule>
    <cfRule type="expression" dxfId="34" priority="7">
      <formula>H7="Xong"</formula>
    </cfRule>
    <cfRule type="expression" dxfId="33" priority="8">
      <formula>H7="Chờ duyệt"</formula>
    </cfRule>
    <cfRule type="expression" dxfId="32" priority="9">
      <formula>H7="Đang làm"</formula>
    </cfRule>
  </conditionalFormatting>
  <conditionalFormatting sqref="I7:I66">
    <cfRule type="expression" dxfId="31" priority="10">
      <formula>I7="Trễ hạn"</formula>
    </cfRule>
    <cfRule type="expression" dxfId="30" priority="11">
      <formula>I7="Đến hạn 7 ngày"</formula>
    </cfRule>
    <cfRule type="expression" dxfId="29" priority="12">
      <formula>I7="Rơi vào Chủ nhật"</formula>
    </cfRule>
  </conditionalFormatting>
  <conditionalFormatting sqref="J7:J66">
    <cfRule type="expression" dxfId="28" priority="6" stopIfTrue="1">
      <formula>AND(DA_THAY&lt;&gt;"Rồi",$AA7=1,J7=$Z7)</formula>
    </cfRule>
  </conditionalFormatting>
  <conditionalFormatting sqref="L5:R66">
    <cfRule type="expression" dxfId="27" priority="28">
      <formula>AND(L$6&lt;&gt;"",NGAY_XEM&gt;=L$6-WEEKDAY(L$6,2)+1,NGAY_XEM&lt;=L$6-WEEKDAY(L$6,2)+7)</formula>
    </cfRule>
  </conditionalFormatting>
  <conditionalFormatting sqref="L7:R66">
    <cfRule type="expression" dxfId="26" priority="14">
      <formula>AND(AND($C7&lt;&gt;"",$E7&lt;&gt;"",$E7=L$5),$H7="Xong")</formula>
    </cfRule>
    <cfRule type="expression" dxfId="25" priority="15">
      <formula>AND(AND($C7&lt;&gt;"",$E7&lt;&gt;"",$E7=L$5),$I7="Trễ hạn")</formula>
    </cfRule>
    <cfRule type="expression" dxfId="24" priority="16">
      <formula>AND(AND($C7&lt;&gt;"",$E7&lt;&gt;"",$E7=L$5),$B7=INDEX(DS_NHOM,1))</formula>
    </cfRule>
    <cfRule type="expression" dxfId="23" priority="17">
      <formula>AND(AND($C7&lt;&gt;"",$E7&lt;&gt;"",$E7=L$5),$B7=INDEX(DS_NHOM,2))</formula>
    </cfRule>
    <cfRule type="expression" dxfId="22" priority="18">
      <formula>AND(AND($C7&lt;&gt;"",$E7&lt;&gt;"",$E7=L$5),$B7=INDEX(DS_NHOM,3))</formula>
    </cfRule>
    <cfRule type="expression" dxfId="21" priority="19">
      <formula>AND(AND($C7&lt;&gt;"",$E7&lt;&gt;"",$E7=L$5),$B7=INDEX(DS_NHOM,4))</formula>
    </cfRule>
    <cfRule type="expression" dxfId="20" priority="20">
      <formula>AND(AND($C7&lt;&gt;"",$E7&lt;&gt;"",$E7=L$5),$B7=INDEX(DS_NHOM,5))</formula>
    </cfRule>
    <cfRule type="expression" dxfId="19" priority="21">
      <formula>AND(AND($C7&lt;&gt;"",$E7&lt;&gt;"",$E7=L$5),$B7=INDEX(DS_NHOM,6))</formula>
    </cfRule>
    <cfRule type="expression" dxfId="18" priority="22">
      <formula>AND(AND($C7&lt;&gt;"",$E7&lt;&gt;"",$E7=L$5),$B7=INDEX(DS_NHOM,7))</formula>
    </cfRule>
    <cfRule type="expression" dxfId="17" priority="23">
      <formula>AND(AND($C7&lt;&gt;"",$E7&lt;&gt;"",$E7=L$5),$B7=INDEX(DS_NHOM,8))</formula>
    </cfRule>
    <cfRule type="expression" dxfId="16" priority="24">
      <formula>AND(AND($C7&lt;&gt;"",$E7&lt;&gt;"",$E7=L$5),$B7=INDEX(DS_NHOM,9))</formula>
    </cfRule>
    <cfRule type="expression" dxfId="15" priority="25">
      <formula>AND(AND($C7&lt;&gt;"",$E7&lt;&gt;"",$E7=L$5),$B7=INDEX(DS_NHOM,10))</formula>
    </cfRule>
    <cfRule type="expression" dxfId="14" priority="26">
      <formula>AND($C7&lt;&gt;"",$E7&lt;&gt;"",$E7=L$5)</formula>
    </cfRule>
  </conditionalFormatting>
  <conditionalFormatting sqref="Q5:Q6">
    <cfRule type="expression" dxfId="13" priority="29">
      <formula>TRUE</formula>
    </cfRule>
  </conditionalFormatting>
  <conditionalFormatting sqref="Q7:Q66">
    <cfRule type="expression" dxfId="12" priority="27">
      <formula>TRUE</formula>
    </cfRule>
  </conditionalFormatting>
  <dataValidations count="4">
    <dataValidation type="list" allowBlank="1" showInputMessage="1" showErrorMessage="1" errorTitle="Không có trong danh sách" error="Chọn một giá trị trong danh sách." promptTitle="Chọn trong danh sách" prompt="Nhóm việc quyết định màu ô tuần." sqref="B7:B66" xr:uid="{00000000-0002-0000-0100-000000000000}">
      <formula1>DS_NHOM</formula1>
    </dataValidation>
    <dataValidation type="list" allowBlank="1" showInputMessage="1" showErrorMessage="1" errorTitle="Không có trong danh sách" error="Chọn một giá trị trong danh sách." promptTitle="Chọn trong danh sách" prompt="Mỗi việc một người phụ trách." sqref="D7:D66" xr:uid="{00000000-0002-0000-0100-000001000000}">
      <formula1>DS_NGUOI</formula1>
    </dataValidation>
    <dataValidation type="list" allowBlank="1" showInputMessage="1" showErrorMessage="1" errorTitle="Không có trong danh sách" error="Chọn một giá trị trong danh sách." promptTitle="Chọn trong danh sách" prompt="Tuần phải xong việc, tính so với ngày diễn ra." sqref="E7:E66" xr:uid="{00000000-0002-0000-0100-000002000000}">
      <formula1>DS_TUAN</formula1>
    </dataValidation>
    <dataValidation type="list" allowBlank="1" showInputMessage="1" showErrorMessage="1" errorTitle="Không có trong danh sách" error="Chọn một giá trị trong danh sách." promptTitle="Chọn trong danh sách" prompt="Chọn Xong khi việc đã làm xong." sqref="H7:H66" xr:uid="{00000000-0002-0000-0100-000003000000}">
      <formula1>DS_TT</formula1>
    </dataValidation>
  </dataValidations>
  <printOptions horizontalCentered="1"/>
  <pageMargins left="0.4" right="0.4" top="0.45" bottom="0.55000000000000004" header="0.5" footer="0.5"/>
  <pageSetup paperSize="9" scale="83" fitToHeight="0" orientation="landscape" r:id="rId1"/>
  <headerFooter scaleWithDoc="0">
    <oddFooter>&amp;C&amp;9 &amp;K98A2B3Mẫu của A.M Agency – amagency.vn&amp;R&amp;9 &amp;K98A2B3Trang &amp;P/&amp;N</oddFooter>
  </headerFooter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0A100"/>
  </sheetPr>
  <dimension ref="A1:R46"/>
  <sheetViews>
    <sheetView showGridLines="0" zoomScaleNormal="100" workbookViewId="0">
      <pane xSplit="1" ySplit="6" topLeftCell="B7" activePane="bottomRight" state="frozen"/>
      <selection pane="topRight"/>
      <selection pane="bottomLeft"/>
      <selection pane="bottomRight" sqref="A1:J1"/>
    </sheetView>
  </sheetViews>
  <sheetFormatPr defaultRowHeight="14.5" x14ac:dyDescent="0.35"/>
  <cols>
    <col min="1" max="1" width="5" customWidth="1"/>
    <col min="2" max="3" width="9" customWidth="1"/>
    <col min="4" max="4" width="10" customWidth="1"/>
    <col min="5" max="5" width="9" customWidth="1"/>
    <col min="6" max="6" width="12" customWidth="1"/>
    <col min="7" max="7" width="34" customWidth="1"/>
    <col min="8" max="8" width="17" customWidth="1"/>
    <col min="9" max="9" width="20" customWidth="1"/>
    <col min="10" max="10" width="26" customWidth="1"/>
    <col min="11" max="18" width="13" hidden="1" customWidth="1"/>
  </cols>
  <sheetData>
    <row r="1" spans="1:18" ht="30" customHeight="1" x14ac:dyDescent="0.35">
      <c r="A1" s="66" t="s">
        <v>102</v>
      </c>
      <c r="B1" s="55"/>
      <c r="C1" s="55"/>
      <c r="D1" s="55"/>
      <c r="E1" s="55"/>
      <c r="F1" s="55"/>
      <c r="G1" s="55"/>
      <c r="H1" s="55"/>
      <c r="I1" s="55"/>
      <c r="J1" s="55"/>
    </row>
    <row r="2" spans="1:18" ht="28" customHeight="1" x14ac:dyDescent="0.35">
      <c r="A2" s="12" t="s">
        <v>103</v>
      </c>
    </row>
    <row r="3" spans="1:18" ht="22" customHeight="1" x14ac:dyDescent="0.35">
      <c r="A3" s="70" t="s">
        <v>15</v>
      </c>
      <c r="B3" s="71"/>
      <c r="C3" s="70" t="s">
        <v>104</v>
      </c>
      <c r="D3" s="71"/>
      <c r="E3" s="70" t="s">
        <v>105</v>
      </c>
      <c r="F3" s="71"/>
      <c r="G3" s="70" t="s">
        <v>106</v>
      </c>
      <c r="H3" s="70" t="s">
        <v>34</v>
      </c>
      <c r="I3" s="71"/>
      <c r="J3" s="70" t="s">
        <v>107</v>
      </c>
    </row>
    <row r="4" spans="1:18" ht="26" customHeight="1" x14ac:dyDescent="0.35">
      <c r="A4" s="67">
        <f>IF(NGAY_SU_KIEN="","",NGAY_SU_KIEN)</f>
        <v>46368</v>
      </c>
      <c r="B4" s="68"/>
      <c r="C4" s="69">
        <f>IF(GIO_BAT_DAU="","",GIO_BAT_DAU)</f>
        <v>0.25</v>
      </c>
      <c r="D4" s="68"/>
      <c r="E4" s="69">
        <f>IF(GIO_TRA_SANH="","",GIO_TRA_SANH)</f>
        <v>0.5</v>
      </c>
      <c r="F4" s="68"/>
      <c r="G4" s="69">
        <f>IF(COUNT(C7:C46)=0,"",LOOKUP(2,1/ISNUMBER(C7:C46),C7:C46))</f>
        <v>0.49305555555555547</v>
      </c>
      <c r="H4" s="73">
        <f>IF(OR(COUNT(C7:C46)=0,GIO_TRA_SANH=""),0,ROUND((GIO_TRA_SANH-LOOKUP(2,1/ISNUMBER(C7:C46),C7:C46))*1440,0))</f>
        <v>10</v>
      </c>
      <c r="I4" s="68"/>
      <c r="J4" s="72">
        <f>COUNTIFS(G7:G46,"&lt;&gt;",H7:H46,"")</f>
        <v>0</v>
      </c>
    </row>
    <row r="5" spans="1:18" ht="8" customHeight="1" x14ac:dyDescent="0.35"/>
    <row r="6" spans="1:18" ht="30" customHeight="1" x14ac:dyDescent="0.35">
      <c r="A6" s="15" t="s">
        <v>48</v>
      </c>
      <c r="B6" s="15" t="s">
        <v>108</v>
      </c>
      <c r="C6" s="15" t="s">
        <v>109</v>
      </c>
      <c r="D6" s="15" t="s">
        <v>110</v>
      </c>
      <c r="E6" s="15" t="s">
        <v>111</v>
      </c>
      <c r="F6" s="15" t="s">
        <v>112</v>
      </c>
      <c r="G6" s="15" t="s">
        <v>113</v>
      </c>
      <c r="H6" s="15" t="s">
        <v>50</v>
      </c>
      <c r="I6" s="15" t="s">
        <v>114</v>
      </c>
      <c r="J6" s="15" t="s">
        <v>56</v>
      </c>
    </row>
    <row r="7" spans="1:18" ht="20" customHeight="1" x14ac:dyDescent="0.35">
      <c r="A7" s="17">
        <f>IF(G7="","",COUNTA($G$7:G7))</f>
        <v>1</v>
      </c>
      <c r="B7" s="22">
        <f>IF(G7="","",IF(E7&lt;&gt;"",E7,IFERROR(LOOKUP(2,1/ISNUMBER($C$6:INDEX($C:$C,ROW()-1)),$C$6:INDEX($C:$C,ROW()-1)),N(GIO_BAT_DAU))))</f>
        <v>0.25</v>
      </c>
      <c r="C7" s="23">
        <f t="shared" ref="C7:C46" si="0">IF(B7="","",B7+N(D7)/1440)</f>
        <v>0.29166666666666669</v>
      </c>
      <c r="D7" s="24">
        <v>60</v>
      </c>
      <c r="E7" s="25"/>
      <c r="F7" s="21" t="str">
        <f>IF(OR(G7="",E7=""),"",IF(ROUND((IFERROR(LOOKUP(2,1/ISNUMBER($C$6:INDEX($C:$C,ROW()-1)),$C$6:INDEX($C:$C,ROW()-1)),N(GIO_BAT_DAU))-E7)*1440,0)&gt;0,"Trễ "&amp;ROUND((IFERROR(LOOKUP(2,1/ISNUMBER($C$6:INDEX($C:$C,ROW()-1)),$C$6:INDEX($C:$C,ROW()-1)),N(GIO_BAT_DAU))-E7)*1440,0)&amp;" phút",IF(ROUND((E7-IFERROR(LOOKUP(2,1/ISNUMBER($C$6:INDEX($C:$C,ROW()-1)),$C$6:INDEX($C:$C,ROW()-1)),N(GIO_BAT_DAU)))*1440,0)&gt;0,"Trống "&amp;ROUND((E7-IFERROR(LOOKUP(2,1/ISNUMBER($C$6:INDEX($C:$C,ROW()-1)),$C$6:INDEX($C:$C,ROW()-1)),N(GIO_BAT_DAU)))*1440,0)&amp;" phút","Đúng mốc")))</f>
        <v/>
      </c>
      <c r="G7" s="5" t="s">
        <v>115</v>
      </c>
      <c r="H7" s="5" t="s">
        <v>87</v>
      </c>
      <c r="I7" s="5"/>
      <c r="J7" s="5" t="s">
        <v>116</v>
      </c>
      <c r="L7">
        <v>60</v>
      </c>
      <c r="M7" s="7"/>
      <c r="N7" t="s">
        <v>115</v>
      </c>
      <c r="O7" t="s">
        <v>87</v>
      </c>
      <c r="Q7" t="s">
        <v>116</v>
      </c>
      <c r="R7">
        <v>1</v>
      </c>
    </row>
    <row r="8" spans="1:18" ht="20" customHeight="1" x14ac:dyDescent="0.35">
      <c r="A8" s="17">
        <f>IF(G8="","",COUNTA($G$7:G8))</f>
        <v>2</v>
      </c>
      <c r="B8" s="22">
        <f>IF(G8="","",IF(E8&lt;&gt;"",E8,IFERROR(LOOKUP(2,1/ISNUMBER($C$6:INDEX($C:$C,ROW()-1)),$C$6:INDEX($C:$C,ROW()-1)),N(GIO_BAT_DAU))))</f>
        <v>0.29166666666666669</v>
      </c>
      <c r="C8" s="23">
        <f t="shared" si="0"/>
        <v>0.3125</v>
      </c>
      <c r="D8" s="24">
        <v>30</v>
      </c>
      <c r="E8" s="25"/>
      <c r="F8" s="21" t="str">
        <f>IF(OR(G8="",E8=""),"",IF(ROUND((IFERROR(LOOKUP(2,1/ISNUMBER($C$6:INDEX($C:$C,ROW()-1)),$C$6:INDEX($C:$C,ROW()-1)),N(GIO_BAT_DAU))-E8)*1440,0)&gt;0,"Trễ "&amp;ROUND((IFERROR(LOOKUP(2,1/ISNUMBER($C$6:INDEX($C:$C,ROW()-1)),$C$6:INDEX($C:$C,ROW()-1)),N(GIO_BAT_DAU))-E8)*1440,0)&amp;" phút",IF(ROUND((E8-IFERROR(LOOKUP(2,1/ISNUMBER($C$6:INDEX($C:$C,ROW()-1)),$C$6:INDEX($C:$C,ROW()-1)),N(GIO_BAT_DAU)))*1440,0)&gt;0,"Trống "&amp;ROUND((E8-IFERROR(LOOKUP(2,1/ISNUMBER($C$6:INDEX($C:$C,ROW()-1)),$C$6:INDEX($C:$C,ROW()-1)),N(GIO_BAT_DAU)))*1440,0)&amp;" phút","Đúng mốc")))</f>
        <v/>
      </c>
      <c r="G8" s="5" t="s">
        <v>117</v>
      </c>
      <c r="H8" s="5" t="s">
        <v>118</v>
      </c>
      <c r="I8" s="5" t="s">
        <v>119</v>
      </c>
      <c r="J8" s="5"/>
      <c r="L8">
        <v>30</v>
      </c>
      <c r="M8" s="7"/>
      <c r="N8" t="s">
        <v>117</v>
      </c>
      <c r="O8" t="s">
        <v>118</v>
      </c>
      <c r="P8" t="s">
        <v>119</v>
      </c>
      <c r="R8">
        <v>1</v>
      </c>
    </row>
    <row r="9" spans="1:18" ht="20" customHeight="1" x14ac:dyDescent="0.35">
      <c r="A9" s="17">
        <f>IF(G9="","",COUNTA($G$7:G9))</f>
        <v>3</v>
      </c>
      <c r="B9" s="22">
        <f>IF(G9="","",IF(E9&lt;&gt;"",E9,IFERROR(LOOKUP(2,1/ISNUMBER($C$6:INDEX($C:$C,ROW()-1)),$C$6:INDEX($C:$C,ROW()-1)),N(GIO_BAT_DAU))))</f>
        <v>0.3125</v>
      </c>
      <c r="C9" s="23">
        <f t="shared" si="0"/>
        <v>0.35416666666666669</v>
      </c>
      <c r="D9" s="24">
        <v>60</v>
      </c>
      <c r="E9" s="25"/>
      <c r="F9" s="21" t="str">
        <f>IF(OR(G9="",E9=""),"",IF(ROUND((IFERROR(LOOKUP(2,1/ISNUMBER($C$6:INDEX($C:$C,ROW()-1)),$C$6:INDEX($C:$C,ROW()-1)),N(GIO_BAT_DAU))-E9)*1440,0)&gt;0,"Trễ "&amp;ROUND((IFERROR(LOOKUP(2,1/ISNUMBER($C$6:INDEX($C:$C,ROW()-1)),$C$6:INDEX($C:$C,ROW()-1)),N(GIO_BAT_DAU))-E9)*1440,0)&amp;" phút",IF(ROUND((E9-IFERROR(LOOKUP(2,1/ISNUMBER($C$6:INDEX($C:$C,ROW()-1)),$C$6:INDEX($C:$C,ROW()-1)),N(GIO_BAT_DAU)))*1440,0)&gt;0,"Trống "&amp;ROUND((E9-IFERROR(LOOKUP(2,1/ISNUMBER($C$6:INDEX($C:$C,ROW()-1)),$C$6:INDEX($C:$C,ROW()-1)),N(GIO_BAT_DAU)))*1440,0)&amp;" phút","Đúng mốc")))</f>
        <v/>
      </c>
      <c r="G9" s="5" t="s">
        <v>120</v>
      </c>
      <c r="H9" s="5" t="s">
        <v>59</v>
      </c>
      <c r="I9" s="5" t="s">
        <v>121</v>
      </c>
      <c r="J9" s="5" t="s">
        <v>122</v>
      </c>
      <c r="L9">
        <v>60</v>
      </c>
      <c r="M9" s="7"/>
      <c r="N9" t="s">
        <v>120</v>
      </c>
      <c r="O9" t="s">
        <v>59</v>
      </c>
      <c r="P9" t="s">
        <v>121</v>
      </c>
      <c r="Q9" t="s">
        <v>122</v>
      </c>
      <c r="R9">
        <v>1</v>
      </c>
    </row>
    <row r="10" spans="1:18" ht="20" customHeight="1" x14ac:dyDescent="0.35">
      <c r="A10" s="17">
        <f>IF(G10="","",COUNTA($G$7:G10))</f>
        <v>4</v>
      </c>
      <c r="B10" s="22">
        <f>IF(G10="","",IF(E10&lt;&gt;"",E10,IFERROR(LOOKUP(2,1/ISNUMBER($C$6:INDEX($C:$C,ROW()-1)),$C$6:INDEX($C:$C,ROW()-1)),N(GIO_BAT_DAU))))</f>
        <v>0.35416666666666669</v>
      </c>
      <c r="C10" s="23">
        <f t="shared" si="0"/>
        <v>0.36458333333333337</v>
      </c>
      <c r="D10" s="24">
        <v>15</v>
      </c>
      <c r="E10" s="25"/>
      <c r="F10" s="21" t="str">
        <f>IF(OR(G10="",E10=""),"",IF(ROUND((IFERROR(LOOKUP(2,1/ISNUMBER($C$6:INDEX($C:$C,ROW()-1)),$C$6:INDEX($C:$C,ROW()-1)),N(GIO_BAT_DAU))-E10)*1440,0)&gt;0,"Trễ "&amp;ROUND((IFERROR(LOOKUP(2,1/ISNUMBER($C$6:INDEX($C:$C,ROW()-1)),$C$6:INDEX($C:$C,ROW()-1)),N(GIO_BAT_DAU))-E10)*1440,0)&amp;" phút",IF(ROUND((E10-IFERROR(LOOKUP(2,1/ISNUMBER($C$6:INDEX($C:$C,ROW()-1)),$C$6:INDEX($C:$C,ROW()-1)),N(GIO_BAT_DAU)))*1440,0)&gt;0,"Trống "&amp;ROUND((E10-IFERROR(LOOKUP(2,1/ISNUMBER($C$6:INDEX($C:$C,ROW()-1)),$C$6:INDEX($C:$C,ROW()-1)),N(GIO_BAT_DAU)))*1440,0)&amp;" phút","Đúng mốc")))</f>
        <v/>
      </c>
      <c r="G10" s="5" t="s">
        <v>123</v>
      </c>
      <c r="H10" s="5" t="s">
        <v>93</v>
      </c>
      <c r="I10" s="5"/>
      <c r="J10" s="5"/>
      <c r="L10">
        <v>15</v>
      </c>
      <c r="M10" s="7"/>
      <c r="N10" t="s">
        <v>123</v>
      </c>
      <c r="O10" t="s">
        <v>93</v>
      </c>
      <c r="R10">
        <v>1</v>
      </c>
    </row>
    <row r="11" spans="1:18" ht="20" customHeight="1" x14ac:dyDescent="0.35">
      <c r="A11" s="17">
        <f>IF(G11="","",COUNTA($G$7:G11))</f>
        <v>5</v>
      </c>
      <c r="B11" s="22">
        <f>IF(G11="","",IF(E11&lt;&gt;"",E11,IFERROR(LOOKUP(2,1/ISNUMBER($C$6:INDEX($C:$C,ROW()-1)),$C$6:INDEX($C:$C,ROW()-1)),N(GIO_BAT_DAU))))</f>
        <v>0.36458333333333337</v>
      </c>
      <c r="C11" s="23">
        <f t="shared" si="0"/>
        <v>0.39236111111111116</v>
      </c>
      <c r="D11" s="24">
        <v>40</v>
      </c>
      <c r="E11" s="25"/>
      <c r="F11" s="21" t="str">
        <f>IF(OR(G11="",E11=""),"",IF(ROUND((IFERROR(LOOKUP(2,1/ISNUMBER($C$6:INDEX($C:$C,ROW()-1)),$C$6:INDEX($C:$C,ROW()-1)),N(GIO_BAT_DAU))-E11)*1440,0)&gt;0,"Trễ "&amp;ROUND((IFERROR(LOOKUP(2,1/ISNUMBER($C$6:INDEX($C:$C,ROW()-1)),$C$6:INDEX($C:$C,ROW()-1)),N(GIO_BAT_DAU))-E11)*1440,0)&amp;" phút",IF(ROUND((E11-IFERROR(LOOKUP(2,1/ISNUMBER($C$6:INDEX($C:$C,ROW()-1)),$C$6:INDEX($C:$C,ROW()-1)),N(GIO_BAT_DAU)))*1440,0)&gt;0,"Trống "&amp;ROUND((E11-IFERROR(LOOKUP(2,1/ISNUMBER($C$6:INDEX($C:$C,ROW()-1)),$C$6:INDEX($C:$C,ROW()-1)),N(GIO_BAT_DAU)))*1440,0)&amp;" phút","Đúng mốc")))</f>
        <v/>
      </c>
      <c r="G11" s="5" t="s">
        <v>124</v>
      </c>
      <c r="H11" s="5" t="s">
        <v>95</v>
      </c>
      <c r="I11" s="5" t="s">
        <v>125</v>
      </c>
      <c r="J11" s="5"/>
      <c r="L11">
        <v>40</v>
      </c>
      <c r="M11" s="7"/>
      <c r="N11" t="s">
        <v>124</v>
      </c>
      <c r="O11" t="s">
        <v>95</v>
      </c>
      <c r="P11" t="s">
        <v>125</v>
      </c>
      <c r="R11">
        <v>1</v>
      </c>
    </row>
    <row r="12" spans="1:18" ht="20" customHeight="1" x14ac:dyDescent="0.35">
      <c r="A12" s="17">
        <f>IF(G12="","",COUNTA($G$7:G12))</f>
        <v>6</v>
      </c>
      <c r="B12" s="22">
        <f>IF(G12="","",IF(E12&lt;&gt;"",E12,IFERROR(LOOKUP(2,1/ISNUMBER($C$6:INDEX($C:$C,ROW()-1)),$C$6:INDEX($C:$C,ROW()-1)),N(GIO_BAT_DAU))))</f>
        <v>0.39583333333333331</v>
      </c>
      <c r="C12" s="23">
        <f t="shared" si="0"/>
        <v>0.40277777777777773</v>
      </c>
      <c r="D12" s="24">
        <v>10</v>
      </c>
      <c r="E12" s="25">
        <v>0.39583333333333331</v>
      </c>
      <c r="F12" s="21" t="str">
        <f>IF(OR(G12="",E12=""),"",IF(ROUND((IFERROR(LOOKUP(2,1/ISNUMBER($C$6:INDEX($C:$C,ROW()-1)),$C$6:INDEX($C:$C,ROW()-1)),N(GIO_BAT_DAU))-E12)*1440,0)&gt;0,"Trễ "&amp;ROUND((IFERROR(LOOKUP(2,1/ISNUMBER($C$6:INDEX($C:$C,ROW()-1)),$C$6:INDEX($C:$C,ROW()-1)),N(GIO_BAT_DAU))-E12)*1440,0)&amp;" phút",IF(ROUND((E12-IFERROR(LOOKUP(2,1/ISNUMBER($C$6:INDEX($C:$C,ROW()-1)),$C$6:INDEX($C:$C,ROW()-1)),N(GIO_BAT_DAU)))*1440,0)&gt;0,"Trống "&amp;ROUND((E12-IFERROR(LOOKUP(2,1/ISNUMBER($C$6:INDEX($C:$C,ROW()-1)),$C$6:INDEX($C:$C,ROW()-1)),N(GIO_BAT_DAU)))*1440,0)&amp;" phút","Đúng mốc")))</f>
        <v>Trống 5 phút</v>
      </c>
      <c r="G12" s="5" t="s">
        <v>126</v>
      </c>
      <c r="H12" s="5" t="s">
        <v>63</v>
      </c>
      <c r="I12" s="5" t="s">
        <v>127</v>
      </c>
      <c r="J12" s="5"/>
      <c r="L12">
        <v>10</v>
      </c>
      <c r="M12" s="7">
        <v>0.39583333333333331</v>
      </c>
      <c r="N12" t="s">
        <v>126</v>
      </c>
      <c r="O12" t="s">
        <v>63</v>
      </c>
      <c r="P12" t="s">
        <v>127</v>
      </c>
      <c r="R12">
        <v>1</v>
      </c>
    </row>
    <row r="13" spans="1:18" ht="20" customHeight="1" x14ac:dyDescent="0.35">
      <c r="A13" s="17">
        <f>IF(G13="","",COUNTA($G$7:G13))</f>
        <v>7</v>
      </c>
      <c r="B13" s="22">
        <f>IF(G13="","",IF(E13&lt;&gt;"",E13,IFERROR(LOOKUP(2,1/ISNUMBER($C$6:INDEX($C:$C,ROW()-1)),$C$6:INDEX($C:$C,ROW()-1)),N(GIO_BAT_DAU))))</f>
        <v>0.40277777777777773</v>
      </c>
      <c r="C13" s="23">
        <f t="shared" si="0"/>
        <v>0.40624999999999994</v>
      </c>
      <c r="D13" s="24">
        <v>5</v>
      </c>
      <c r="E13" s="25"/>
      <c r="F13" s="21" t="str">
        <f>IF(OR(G13="",E13=""),"",IF(ROUND((IFERROR(LOOKUP(2,1/ISNUMBER($C$6:INDEX($C:$C,ROW()-1)),$C$6:INDEX($C:$C,ROW()-1)),N(GIO_BAT_DAU))-E13)*1440,0)&gt;0,"Trễ "&amp;ROUND((IFERROR(LOOKUP(2,1/ISNUMBER($C$6:INDEX($C:$C,ROW()-1)),$C$6:INDEX($C:$C,ROW()-1)),N(GIO_BAT_DAU))-E13)*1440,0)&amp;" phút",IF(ROUND((E13-IFERROR(LOOKUP(2,1/ISNUMBER($C$6:INDEX($C:$C,ROW()-1)),$C$6:INDEX($C:$C,ROW()-1)),N(GIO_BAT_DAU)))*1440,0)&gt;0,"Trống "&amp;ROUND((E13-IFERROR(LOOKUP(2,1/ISNUMBER($C$6:INDEX($C:$C,ROW()-1)),$C$6:INDEX($C:$C,ROW()-1)),N(GIO_BAT_DAU)))*1440,0)&amp;" phút","Đúng mốc")))</f>
        <v/>
      </c>
      <c r="G13" s="5" t="s">
        <v>128</v>
      </c>
      <c r="H13" s="5" t="s">
        <v>129</v>
      </c>
      <c r="I13" s="5" t="s">
        <v>130</v>
      </c>
      <c r="J13" s="5"/>
      <c r="L13">
        <v>5</v>
      </c>
      <c r="M13" s="7"/>
      <c r="N13" t="s">
        <v>128</v>
      </c>
      <c r="O13" t="s">
        <v>129</v>
      </c>
      <c r="P13" t="s">
        <v>130</v>
      </c>
      <c r="R13">
        <v>1</v>
      </c>
    </row>
    <row r="14" spans="1:18" ht="20" customHeight="1" x14ac:dyDescent="0.35">
      <c r="A14" s="17">
        <f>IF(G14="","",COUNTA($G$7:G14))</f>
        <v>8</v>
      </c>
      <c r="B14" s="22">
        <f>IF(G14="","",IF(E14&lt;&gt;"",E14,IFERROR(LOOKUP(2,1/ISNUMBER($C$6:INDEX($C:$C,ROW()-1)),$C$6:INDEX($C:$C,ROW()-1)),N(GIO_BAT_DAU))))</f>
        <v>0.40624999999999994</v>
      </c>
      <c r="C14" s="23">
        <f t="shared" si="0"/>
        <v>0.40972222222222215</v>
      </c>
      <c r="D14" s="24">
        <v>5</v>
      </c>
      <c r="E14" s="25"/>
      <c r="F14" s="21" t="str">
        <f>IF(OR(G14="",E14=""),"",IF(ROUND((IFERROR(LOOKUP(2,1/ISNUMBER($C$6:INDEX($C:$C,ROW()-1)),$C$6:INDEX($C:$C,ROW()-1)),N(GIO_BAT_DAU))-E14)*1440,0)&gt;0,"Trễ "&amp;ROUND((IFERROR(LOOKUP(2,1/ISNUMBER($C$6:INDEX($C:$C,ROW()-1)),$C$6:INDEX($C:$C,ROW()-1)),N(GIO_BAT_DAU))-E14)*1440,0)&amp;" phút",IF(ROUND((E14-IFERROR(LOOKUP(2,1/ISNUMBER($C$6:INDEX($C:$C,ROW()-1)),$C$6:INDEX($C:$C,ROW()-1)),N(GIO_BAT_DAU)))*1440,0)&gt;0,"Trống "&amp;ROUND((E14-IFERROR(LOOKUP(2,1/ISNUMBER($C$6:INDEX($C:$C,ROW()-1)),$C$6:INDEX($C:$C,ROW()-1)),N(GIO_BAT_DAU)))*1440,0)&amp;" phút","Đúng mốc")))</f>
        <v/>
      </c>
      <c r="G14" s="5" t="s">
        <v>131</v>
      </c>
      <c r="H14" s="5" t="s">
        <v>63</v>
      </c>
      <c r="I14" s="5" t="s">
        <v>132</v>
      </c>
      <c r="J14" s="5"/>
      <c r="L14">
        <v>5</v>
      </c>
      <c r="M14" s="7"/>
      <c r="N14" t="s">
        <v>131</v>
      </c>
      <c r="O14" t="s">
        <v>63</v>
      </c>
      <c r="P14" t="s">
        <v>132</v>
      </c>
      <c r="R14">
        <v>1</v>
      </c>
    </row>
    <row r="15" spans="1:18" ht="20" customHeight="1" x14ac:dyDescent="0.35">
      <c r="A15" s="17">
        <f>IF(G15="","",COUNTA($G$7:G15))</f>
        <v>9</v>
      </c>
      <c r="B15" s="22">
        <f>IF(G15="","",IF(E15&lt;&gt;"",E15,IFERROR(LOOKUP(2,1/ISNUMBER($C$6:INDEX($C:$C,ROW()-1)),$C$6:INDEX($C:$C,ROW()-1)),N(GIO_BAT_DAU))))</f>
        <v>0.40972222222222215</v>
      </c>
      <c r="C15" s="23">
        <f t="shared" si="0"/>
        <v>0.41666666666666657</v>
      </c>
      <c r="D15" s="24">
        <v>10</v>
      </c>
      <c r="E15" s="25"/>
      <c r="F15" s="21" t="str">
        <f>IF(OR(G15="",E15=""),"",IF(ROUND((IFERROR(LOOKUP(2,1/ISNUMBER($C$6:INDEX($C:$C,ROW()-1)),$C$6:INDEX($C:$C,ROW()-1)),N(GIO_BAT_DAU))-E15)*1440,0)&gt;0,"Trễ "&amp;ROUND((IFERROR(LOOKUP(2,1/ISNUMBER($C$6:INDEX($C:$C,ROW()-1)),$C$6:INDEX($C:$C,ROW()-1)),N(GIO_BAT_DAU))-E15)*1440,0)&amp;" phút",IF(ROUND((E15-IFERROR(LOOKUP(2,1/ISNUMBER($C$6:INDEX($C:$C,ROW()-1)),$C$6:INDEX($C:$C,ROW()-1)),N(GIO_BAT_DAU)))*1440,0)&gt;0,"Trống "&amp;ROUND((E15-IFERROR(LOOKUP(2,1/ISNUMBER($C$6:INDEX($C:$C,ROW()-1)),$C$6:INDEX($C:$C,ROW()-1)),N(GIO_BAT_DAU)))*1440,0)&amp;" phút","Đúng mốc")))</f>
        <v/>
      </c>
      <c r="G15" s="5" t="s">
        <v>133</v>
      </c>
      <c r="H15" s="5" t="s">
        <v>59</v>
      </c>
      <c r="I15" s="5"/>
      <c r="J15" s="5" t="s">
        <v>134</v>
      </c>
      <c r="L15">
        <v>10</v>
      </c>
      <c r="M15" s="7"/>
      <c r="N15" t="s">
        <v>133</v>
      </c>
      <c r="O15" t="s">
        <v>59</v>
      </c>
      <c r="Q15" t="s">
        <v>134</v>
      </c>
      <c r="R15">
        <v>1</v>
      </c>
    </row>
    <row r="16" spans="1:18" ht="20" customHeight="1" x14ac:dyDescent="0.35">
      <c r="A16" s="17">
        <f>IF(G16="","",COUNTA($G$7:G16))</f>
        <v>10</v>
      </c>
      <c r="B16" s="22">
        <f>IF(G16="","",IF(E16&lt;&gt;"",E16,IFERROR(LOOKUP(2,1/ISNUMBER($C$6:INDEX($C:$C,ROW()-1)),$C$6:INDEX($C:$C,ROW()-1)),N(GIO_BAT_DAU))))</f>
        <v>0.41666666666666669</v>
      </c>
      <c r="C16" s="23">
        <f t="shared" si="0"/>
        <v>0.4236111111111111</v>
      </c>
      <c r="D16" s="24">
        <v>10</v>
      </c>
      <c r="E16" s="25">
        <v>0.41666666666666669</v>
      </c>
      <c r="F16" s="21" t="str">
        <f>IF(OR(G16="",E16=""),"",IF(ROUND((IFERROR(LOOKUP(2,1/ISNUMBER($C$6:INDEX($C:$C,ROW()-1)),$C$6:INDEX($C:$C,ROW()-1)),N(GIO_BAT_DAU))-E16)*1440,0)&gt;0,"Trễ "&amp;ROUND((IFERROR(LOOKUP(2,1/ISNUMBER($C$6:INDEX($C:$C,ROW()-1)),$C$6:INDEX($C:$C,ROW()-1)),N(GIO_BAT_DAU))-E16)*1440,0)&amp;" phút",IF(ROUND((E16-IFERROR(LOOKUP(2,1/ISNUMBER($C$6:INDEX($C:$C,ROW()-1)),$C$6:INDEX($C:$C,ROW()-1)),N(GIO_BAT_DAU)))*1440,0)&gt;0,"Trống "&amp;ROUND((E16-IFERROR(LOOKUP(2,1/ISNUMBER($C$6:INDEX($C:$C,ROW()-1)),$C$6:INDEX($C:$C,ROW()-1)),N(GIO_BAT_DAU)))*1440,0)&amp;" phút","Đúng mốc")))</f>
        <v>Đúng mốc</v>
      </c>
      <c r="G16" s="5" t="s">
        <v>135</v>
      </c>
      <c r="H16" s="5" t="s">
        <v>59</v>
      </c>
      <c r="I16" s="5" t="s">
        <v>136</v>
      </c>
      <c r="J16" s="5" t="s">
        <v>111</v>
      </c>
      <c r="L16">
        <v>10</v>
      </c>
      <c r="M16" s="7">
        <v>0.41666666666666669</v>
      </c>
      <c r="N16" t="s">
        <v>135</v>
      </c>
      <c r="O16" t="s">
        <v>59</v>
      </c>
      <c r="P16" t="s">
        <v>136</v>
      </c>
      <c r="Q16" t="s">
        <v>111</v>
      </c>
      <c r="R16">
        <v>1</v>
      </c>
    </row>
    <row r="17" spans="1:18" ht="20" customHeight="1" x14ac:dyDescent="0.35">
      <c r="A17" s="17">
        <f>IF(G17="","",COUNTA($G$7:G17))</f>
        <v>11</v>
      </c>
      <c r="B17" s="22">
        <f>IF(G17="","",IF(E17&lt;&gt;"",E17,IFERROR(LOOKUP(2,1/ISNUMBER($C$6:INDEX($C:$C,ROW()-1)),$C$6:INDEX($C:$C,ROW()-1)),N(GIO_BAT_DAU))))</f>
        <v>0.4236111111111111</v>
      </c>
      <c r="C17" s="23">
        <f t="shared" si="0"/>
        <v>0.44444444444444442</v>
      </c>
      <c r="D17" s="24">
        <v>30</v>
      </c>
      <c r="E17" s="25"/>
      <c r="F17" s="21" t="str">
        <f>IF(OR(G17="",E17=""),"",IF(ROUND((IFERROR(LOOKUP(2,1/ISNUMBER($C$6:INDEX($C:$C,ROW()-1)),$C$6:INDEX($C:$C,ROW()-1)),N(GIO_BAT_DAU))-E17)*1440,0)&gt;0,"Trễ "&amp;ROUND((IFERROR(LOOKUP(2,1/ISNUMBER($C$6:INDEX($C:$C,ROW()-1)),$C$6:INDEX($C:$C,ROW()-1)),N(GIO_BAT_DAU))-E17)*1440,0)&amp;" phút",IF(ROUND((E17-IFERROR(LOOKUP(2,1/ISNUMBER($C$6:INDEX($C:$C,ROW()-1)),$C$6:INDEX($C:$C,ROW()-1)),N(GIO_BAT_DAU)))*1440,0)&gt;0,"Trống "&amp;ROUND((E17-IFERROR(LOOKUP(2,1/ISNUMBER($C$6:INDEX($C:$C,ROW()-1)),$C$6:INDEX($C:$C,ROW()-1)),N(GIO_BAT_DAU)))*1440,0)&amp;" phút","Đúng mốc")))</f>
        <v/>
      </c>
      <c r="G17" s="5" t="s">
        <v>137</v>
      </c>
      <c r="H17" s="5" t="s">
        <v>95</v>
      </c>
      <c r="I17" s="5" t="s">
        <v>125</v>
      </c>
      <c r="J17" s="5"/>
      <c r="L17">
        <v>30</v>
      </c>
      <c r="M17" s="7"/>
      <c r="N17" t="s">
        <v>137</v>
      </c>
      <c r="O17" t="s">
        <v>95</v>
      </c>
      <c r="P17" t="s">
        <v>125</v>
      </c>
      <c r="R17">
        <v>1</v>
      </c>
    </row>
    <row r="18" spans="1:18" ht="20" customHeight="1" x14ac:dyDescent="0.35">
      <c r="A18" s="17">
        <f>IF(G18="","",COUNTA($G$7:G18))</f>
        <v>12</v>
      </c>
      <c r="B18" s="22">
        <f>IF(G18="","",IF(E18&lt;&gt;"",E18,IFERROR(LOOKUP(2,1/ISNUMBER($C$6:INDEX($C:$C,ROW()-1)),$C$6:INDEX($C:$C,ROW()-1)),N(GIO_BAT_DAU))))</f>
        <v>0.44444444444444442</v>
      </c>
      <c r="C18" s="23">
        <f t="shared" si="0"/>
        <v>0.46527777777777773</v>
      </c>
      <c r="D18" s="24">
        <v>30</v>
      </c>
      <c r="E18" s="25"/>
      <c r="F18" s="21" t="str">
        <f>IF(OR(G18="",E18=""),"",IF(ROUND((IFERROR(LOOKUP(2,1/ISNUMBER($C$6:INDEX($C:$C,ROW()-1)),$C$6:INDEX($C:$C,ROW()-1)),N(GIO_BAT_DAU))-E18)*1440,0)&gt;0,"Trễ "&amp;ROUND((IFERROR(LOOKUP(2,1/ISNUMBER($C$6:INDEX($C:$C,ROW()-1)),$C$6:INDEX($C:$C,ROW()-1)),N(GIO_BAT_DAU))-E18)*1440,0)&amp;" phút",IF(ROUND((E18-IFERROR(LOOKUP(2,1/ISNUMBER($C$6:INDEX($C:$C,ROW()-1)),$C$6:INDEX($C:$C,ROW()-1)),N(GIO_BAT_DAU)))*1440,0)&gt;0,"Trống "&amp;ROUND((E18-IFERROR(LOOKUP(2,1/ISNUMBER($C$6:INDEX($C:$C,ROW()-1)),$C$6:INDEX($C:$C,ROW()-1)),N(GIO_BAT_DAU)))*1440,0)&amp;" phút","Đúng mốc")))</f>
        <v/>
      </c>
      <c r="G18" s="5" t="s">
        <v>138</v>
      </c>
      <c r="H18" s="5" t="s">
        <v>129</v>
      </c>
      <c r="I18" s="5" t="s">
        <v>139</v>
      </c>
      <c r="J18" s="5"/>
      <c r="L18">
        <v>30</v>
      </c>
      <c r="M18" s="7"/>
      <c r="N18" t="s">
        <v>138</v>
      </c>
      <c r="O18" t="s">
        <v>129</v>
      </c>
      <c r="P18" t="s">
        <v>139</v>
      </c>
      <c r="R18">
        <v>1</v>
      </c>
    </row>
    <row r="19" spans="1:18" ht="20" customHeight="1" x14ac:dyDescent="0.35">
      <c r="A19" s="17">
        <f>IF(G19="","",COUNTA($G$7:G19))</f>
        <v>13</v>
      </c>
      <c r="B19" s="22">
        <f>IF(G19="","",IF(E19&lt;&gt;"",E19,IFERROR(LOOKUP(2,1/ISNUMBER($C$6:INDEX($C:$C,ROW()-1)),$C$6:INDEX($C:$C,ROW()-1)),N(GIO_BAT_DAU))))</f>
        <v>0.46527777777777773</v>
      </c>
      <c r="C19" s="23">
        <f t="shared" si="0"/>
        <v>0.47222222222222215</v>
      </c>
      <c r="D19" s="24">
        <v>10</v>
      </c>
      <c r="E19" s="25"/>
      <c r="F19" s="21" t="str">
        <f>IF(OR(G19="",E19=""),"",IF(ROUND((IFERROR(LOOKUP(2,1/ISNUMBER($C$6:INDEX($C:$C,ROW()-1)),$C$6:INDEX($C:$C,ROW()-1)),N(GIO_BAT_DAU))-E19)*1440,0)&gt;0,"Trễ "&amp;ROUND((IFERROR(LOOKUP(2,1/ISNUMBER($C$6:INDEX($C:$C,ROW()-1)),$C$6:INDEX($C:$C,ROW()-1)),N(GIO_BAT_DAU))-E19)*1440,0)&amp;" phút",IF(ROUND((E19-IFERROR(LOOKUP(2,1/ISNUMBER($C$6:INDEX($C:$C,ROW()-1)),$C$6:INDEX($C:$C,ROW()-1)),N(GIO_BAT_DAU)))*1440,0)&gt;0,"Trống "&amp;ROUND((E19-IFERROR(LOOKUP(2,1/ISNUMBER($C$6:INDEX($C:$C,ROW()-1)),$C$6:INDEX($C:$C,ROW()-1)),N(GIO_BAT_DAU)))*1440,0)&amp;" phút","Đúng mốc")))</f>
        <v/>
      </c>
      <c r="G19" s="5" t="s">
        <v>140</v>
      </c>
      <c r="H19" s="5" t="s">
        <v>129</v>
      </c>
      <c r="I19" s="5"/>
      <c r="J19" s="5"/>
      <c r="L19">
        <v>10</v>
      </c>
      <c r="M19" s="7"/>
      <c r="N19" t="s">
        <v>140</v>
      </c>
      <c r="O19" t="s">
        <v>129</v>
      </c>
      <c r="R19">
        <v>1</v>
      </c>
    </row>
    <row r="20" spans="1:18" ht="20" customHeight="1" x14ac:dyDescent="0.35">
      <c r="A20" s="17">
        <f>IF(G20="","",COUNTA($G$7:G20))</f>
        <v>14</v>
      </c>
      <c r="B20" s="22">
        <f>IF(G20="","",IF(E20&lt;&gt;"",E20,IFERROR(LOOKUP(2,1/ISNUMBER($C$6:INDEX($C:$C,ROW()-1)),$C$6:INDEX($C:$C,ROW()-1)),N(GIO_BAT_DAU))))</f>
        <v>0.47222222222222215</v>
      </c>
      <c r="C20" s="23">
        <f t="shared" si="0"/>
        <v>0.49305555555555547</v>
      </c>
      <c r="D20" s="24">
        <v>30</v>
      </c>
      <c r="E20" s="25"/>
      <c r="F20" s="21" t="str">
        <f>IF(OR(G20="",E20=""),"",IF(ROUND((IFERROR(LOOKUP(2,1/ISNUMBER($C$6:INDEX($C:$C,ROW()-1)),$C$6:INDEX($C:$C,ROW()-1)),N(GIO_BAT_DAU))-E20)*1440,0)&gt;0,"Trễ "&amp;ROUND((IFERROR(LOOKUP(2,1/ISNUMBER($C$6:INDEX($C:$C,ROW()-1)),$C$6:INDEX($C:$C,ROW()-1)),N(GIO_BAT_DAU))-E20)*1440,0)&amp;" phút",IF(ROUND((E20-IFERROR(LOOKUP(2,1/ISNUMBER($C$6:INDEX($C:$C,ROW()-1)),$C$6:INDEX($C:$C,ROW()-1)),N(GIO_BAT_DAU)))*1440,0)&gt;0,"Trống "&amp;ROUND((E20-IFERROR(LOOKUP(2,1/ISNUMBER($C$6:INDEX($C:$C,ROW()-1)),$C$6:INDEX($C:$C,ROW()-1)),N(GIO_BAT_DAU)))*1440,0)&amp;" phút","Đúng mốc")))</f>
        <v/>
      </c>
      <c r="G20" s="5" t="s">
        <v>141</v>
      </c>
      <c r="H20" s="5" t="s">
        <v>87</v>
      </c>
      <c r="I20" s="5"/>
      <c r="J20" s="5" t="s">
        <v>142</v>
      </c>
      <c r="L20">
        <v>30</v>
      </c>
      <c r="M20" s="7"/>
      <c r="N20" t="s">
        <v>141</v>
      </c>
      <c r="O20" t="s">
        <v>87</v>
      </c>
      <c r="Q20" t="s">
        <v>142</v>
      </c>
      <c r="R20">
        <v>1</v>
      </c>
    </row>
    <row r="21" spans="1:18" ht="20" customHeight="1" x14ac:dyDescent="0.35">
      <c r="A21" s="17" t="str">
        <f>IF(G21="","",COUNTA($G$7:G21))</f>
        <v/>
      </c>
      <c r="B21" s="22" t="str">
        <f>IF(G21="","",IF(E21&lt;&gt;"",E21,IFERROR(LOOKUP(2,1/ISNUMBER($C$6:INDEX($C:$C,ROW()-1)),$C$6:INDEX($C:$C,ROW()-1)),N(GIO_BAT_DAU))))</f>
        <v/>
      </c>
      <c r="C21" s="23" t="str">
        <f t="shared" si="0"/>
        <v/>
      </c>
      <c r="D21" s="24"/>
      <c r="E21" s="25"/>
      <c r="F21" s="21" t="str">
        <f>IF(OR(G21="",E21=""),"",IF(ROUND((IFERROR(LOOKUP(2,1/ISNUMBER($C$6:INDEX($C:$C,ROW()-1)),$C$6:INDEX($C:$C,ROW()-1)),N(GIO_BAT_DAU))-E21)*1440,0)&gt;0,"Trễ "&amp;ROUND((IFERROR(LOOKUP(2,1/ISNUMBER($C$6:INDEX($C:$C,ROW()-1)),$C$6:INDEX($C:$C,ROW()-1)),N(GIO_BAT_DAU))-E21)*1440,0)&amp;" phút",IF(ROUND((E21-IFERROR(LOOKUP(2,1/ISNUMBER($C$6:INDEX($C:$C,ROW()-1)),$C$6:INDEX($C:$C,ROW()-1)),N(GIO_BAT_DAU)))*1440,0)&gt;0,"Trống "&amp;ROUND((E21-IFERROR(LOOKUP(2,1/ISNUMBER($C$6:INDEX($C:$C,ROW()-1)),$C$6:INDEX($C:$C,ROW()-1)),N(GIO_BAT_DAU)))*1440,0)&amp;" phút","Đúng mốc")))</f>
        <v/>
      </c>
      <c r="G21" s="5"/>
      <c r="H21" s="5"/>
      <c r="I21" s="5"/>
      <c r="J21" s="5"/>
      <c r="M21" s="7"/>
      <c r="R21">
        <v>0</v>
      </c>
    </row>
    <row r="22" spans="1:18" ht="20" customHeight="1" x14ac:dyDescent="0.35">
      <c r="A22" s="17" t="str">
        <f>IF(G22="","",COUNTA($G$7:G22))</f>
        <v/>
      </c>
      <c r="B22" s="22" t="str">
        <f>IF(G22="","",IF(E22&lt;&gt;"",E22,IFERROR(LOOKUP(2,1/ISNUMBER($C$6:INDEX($C:$C,ROW()-1)),$C$6:INDEX($C:$C,ROW()-1)),N(GIO_BAT_DAU))))</f>
        <v/>
      </c>
      <c r="C22" s="23" t="str">
        <f t="shared" si="0"/>
        <v/>
      </c>
      <c r="D22" s="24"/>
      <c r="E22" s="25"/>
      <c r="F22" s="21" t="str">
        <f>IF(OR(G22="",E22=""),"",IF(ROUND((IFERROR(LOOKUP(2,1/ISNUMBER($C$6:INDEX($C:$C,ROW()-1)),$C$6:INDEX($C:$C,ROW()-1)),N(GIO_BAT_DAU))-E22)*1440,0)&gt;0,"Trễ "&amp;ROUND((IFERROR(LOOKUP(2,1/ISNUMBER($C$6:INDEX($C:$C,ROW()-1)),$C$6:INDEX($C:$C,ROW()-1)),N(GIO_BAT_DAU))-E22)*1440,0)&amp;" phút",IF(ROUND((E22-IFERROR(LOOKUP(2,1/ISNUMBER($C$6:INDEX($C:$C,ROW()-1)),$C$6:INDEX($C:$C,ROW()-1)),N(GIO_BAT_DAU)))*1440,0)&gt;0,"Trống "&amp;ROUND((E22-IFERROR(LOOKUP(2,1/ISNUMBER($C$6:INDEX($C:$C,ROW()-1)),$C$6:INDEX($C:$C,ROW()-1)),N(GIO_BAT_DAU)))*1440,0)&amp;" phút","Đúng mốc")))</f>
        <v/>
      </c>
      <c r="G22" s="5"/>
      <c r="H22" s="5"/>
      <c r="I22" s="5"/>
      <c r="J22" s="5"/>
      <c r="M22" s="7"/>
      <c r="R22">
        <v>0</v>
      </c>
    </row>
    <row r="23" spans="1:18" ht="20" customHeight="1" x14ac:dyDescent="0.35">
      <c r="A23" s="17" t="str">
        <f>IF(G23="","",COUNTA($G$7:G23))</f>
        <v/>
      </c>
      <c r="B23" s="22" t="str">
        <f>IF(G23="","",IF(E23&lt;&gt;"",E23,IFERROR(LOOKUP(2,1/ISNUMBER($C$6:INDEX($C:$C,ROW()-1)),$C$6:INDEX($C:$C,ROW()-1)),N(GIO_BAT_DAU))))</f>
        <v/>
      </c>
      <c r="C23" s="23" t="str">
        <f t="shared" si="0"/>
        <v/>
      </c>
      <c r="D23" s="24"/>
      <c r="E23" s="25"/>
      <c r="F23" s="21" t="str">
        <f>IF(OR(G23="",E23=""),"",IF(ROUND((IFERROR(LOOKUP(2,1/ISNUMBER($C$6:INDEX($C:$C,ROW()-1)),$C$6:INDEX($C:$C,ROW()-1)),N(GIO_BAT_DAU))-E23)*1440,0)&gt;0,"Trễ "&amp;ROUND((IFERROR(LOOKUP(2,1/ISNUMBER($C$6:INDEX($C:$C,ROW()-1)),$C$6:INDEX($C:$C,ROW()-1)),N(GIO_BAT_DAU))-E23)*1440,0)&amp;" phút",IF(ROUND((E23-IFERROR(LOOKUP(2,1/ISNUMBER($C$6:INDEX($C:$C,ROW()-1)),$C$6:INDEX($C:$C,ROW()-1)),N(GIO_BAT_DAU)))*1440,0)&gt;0,"Trống "&amp;ROUND((E23-IFERROR(LOOKUP(2,1/ISNUMBER($C$6:INDEX($C:$C,ROW()-1)),$C$6:INDEX($C:$C,ROW()-1)),N(GIO_BAT_DAU)))*1440,0)&amp;" phút","Đúng mốc")))</f>
        <v/>
      </c>
      <c r="G23" s="5"/>
      <c r="H23" s="5"/>
      <c r="I23" s="5"/>
      <c r="J23" s="5"/>
      <c r="M23" s="7"/>
      <c r="R23">
        <v>0</v>
      </c>
    </row>
    <row r="24" spans="1:18" ht="20" customHeight="1" x14ac:dyDescent="0.35">
      <c r="A24" s="17" t="str">
        <f>IF(G24="","",COUNTA($G$7:G24))</f>
        <v/>
      </c>
      <c r="B24" s="22" t="str">
        <f>IF(G24="","",IF(E24&lt;&gt;"",E24,IFERROR(LOOKUP(2,1/ISNUMBER($C$6:INDEX($C:$C,ROW()-1)),$C$6:INDEX($C:$C,ROW()-1)),N(GIO_BAT_DAU))))</f>
        <v/>
      </c>
      <c r="C24" s="23" t="str">
        <f t="shared" si="0"/>
        <v/>
      </c>
      <c r="D24" s="24"/>
      <c r="E24" s="25"/>
      <c r="F24" s="21" t="str">
        <f>IF(OR(G24="",E24=""),"",IF(ROUND((IFERROR(LOOKUP(2,1/ISNUMBER($C$6:INDEX($C:$C,ROW()-1)),$C$6:INDEX($C:$C,ROW()-1)),N(GIO_BAT_DAU))-E24)*1440,0)&gt;0,"Trễ "&amp;ROUND((IFERROR(LOOKUP(2,1/ISNUMBER($C$6:INDEX($C:$C,ROW()-1)),$C$6:INDEX($C:$C,ROW()-1)),N(GIO_BAT_DAU))-E24)*1440,0)&amp;" phút",IF(ROUND((E24-IFERROR(LOOKUP(2,1/ISNUMBER($C$6:INDEX($C:$C,ROW()-1)),$C$6:INDEX($C:$C,ROW()-1)),N(GIO_BAT_DAU)))*1440,0)&gt;0,"Trống "&amp;ROUND((E24-IFERROR(LOOKUP(2,1/ISNUMBER($C$6:INDEX($C:$C,ROW()-1)),$C$6:INDEX($C:$C,ROW()-1)),N(GIO_BAT_DAU)))*1440,0)&amp;" phút","Đúng mốc")))</f>
        <v/>
      </c>
      <c r="G24" s="5"/>
      <c r="H24" s="5"/>
      <c r="I24" s="5"/>
      <c r="J24" s="5"/>
      <c r="M24" s="7"/>
      <c r="R24">
        <v>0</v>
      </c>
    </row>
    <row r="25" spans="1:18" ht="20" customHeight="1" x14ac:dyDescent="0.35">
      <c r="A25" s="17" t="str">
        <f>IF(G25="","",COUNTA($G$7:G25))</f>
        <v/>
      </c>
      <c r="B25" s="22" t="str">
        <f>IF(G25="","",IF(E25&lt;&gt;"",E25,IFERROR(LOOKUP(2,1/ISNUMBER($C$6:INDEX($C:$C,ROW()-1)),$C$6:INDEX($C:$C,ROW()-1)),N(GIO_BAT_DAU))))</f>
        <v/>
      </c>
      <c r="C25" s="23" t="str">
        <f t="shared" si="0"/>
        <v/>
      </c>
      <c r="D25" s="24"/>
      <c r="E25" s="25"/>
      <c r="F25" s="21" t="str">
        <f>IF(OR(G25="",E25=""),"",IF(ROUND((IFERROR(LOOKUP(2,1/ISNUMBER($C$6:INDEX($C:$C,ROW()-1)),$C$6:INDEX($C:$C,ROW()-1)),N(GIO_BAT_DAU))-E25)*1440,0)&gt;0,"Trễ "&amp;ROUND((IFERROR(LOOKUP(2,1/ISNUMBER($C$6:INDEX($C:$C,ROW()-1)),$C$6:INDEX($C:$C,ROW()-1)),N(GIO_BAT_DAU))-E25)*1440,0)&amp;" phút",IF(ROUND((E25-IFERROR(LOOKUP(2,1/ISNUMBER($C$6:INDEX($C:$C,ROW()-1)),$C$6:INDEX($C:$C,ROW()-1)),N(GIO_BAT_DAU)))*1440,0)&gt;0,"Trống "&amp;ROUND((E25-IFERROR(LOOKUP(2,1/ISNUMBER($C$6:INDEX($C:$C,ROW()-1)),$C$6:INDEX($C:$C,ROW()-1)),N(GIO_BAT_DAU)))*1440,0)&amp;" phút","Đúng mốc")))</f>
        <v/>
      </c>
      <c r="G25" s="5"/>
      <c r="H25" s="5"/>
      <c r="I25" s="5"/>
      <c r="J25" s="5"/>
      <c r="M25" s="7"/>
      <c r="R25">
        <v>0</v>
      </c>
    </row>
    <row r="26" spans="1:18" ht="20" customHeight="1" x14ac:dyDescent="0.35">
      <c r="A26" s="17" t="str">
        <f>IF(G26="","",COUNTA($G$7:G26))</f>
        <v/>
      </c>
      <c r="B26" s="22" t="str">
        <f>IF(G26="","",IF(E26&lt;&gt;"",E26,IFERROR(LOOKUP(2,1/ISNUMBER($C$6:INDEX($C:$C,ROW()-1)),$C$6:INDEX($C:$C,ROW()-1)),N(GIO_BAT_DAU))))</f>
        <v/>
      </c>
      <c r="C26" s="23" t="str">
        <f t="shared" si="0"/>
        <v/>
      </c>
      <c r="D26" s="24"/>
      <c r="E26" s="25"/>
      <c r="F26" s="21" t="str">
        <f>IF(OR(G26="",E26=""),"",IF(ROUND((IFERROR(LOOKUP(2,1/ISNUMBER($C$6:INDEX($C:$C,ROW()-1)),$C$6:INDEX($C:$C,ROW()-1)),N(GIO_BAT_DAU))-E26)*1440,0)&gt;0,"Trễ "&amp;ROUND((IFERROR(LOOKUP(2,1/ISNUMBER($C$6:INDEX($C:$C,ROW()-1)),$C$6:INDEX($C:$C,ROW()-1)),N(GIO_BAT_DAU))-E26)*1440,0)&amp;" phút",IF(ROUND((E26-IFERROR(LOOKUP(2,1/ISNUMBER($C$6:INDEX($C:$C,ROW()-1)),$C$6:INDEX($C:$C,ROW()-1)),N(GIO_BAT_DAU)))*1440,0)&gt;0,"Trống "&amp;ROUND((E26-IFERROR(LOOKUP(2,1/ISNUMBER($C$6:INDEX($C:$C,ROW()-1)),$C$6:INDEX($C:$C,ROW()-1)),N(GIO_BAT_DAU)))*1440,0)&amp;" phút","Đúng mốc")))</f>
        <v/>
      </c>
      <c r="G26" s="5"/>
      <c r="H26" s="5"/>
      <c r="I26" s="5"/>
      <c r="J26" s="5"/>
      <c r="M26" s="7"/>
      <c r="R26">
        <v>0</v>
      </c>
    </row>
    <row r="27" spans="1:18" ht="20" customHeight="1" x14ac:dyDescent="0.35">
      <c r="A27" s="17" t="str">
        <f>IF(G27="","",COUNTA($G$7:G27))</f>
        <v/>
      </c>
      <c r="B27" s="22" t="str">
        <f>IF(G27="","",IF(E27&lt;&gt;"",E27,IFERROR(LOOKUP(2,1/ISNUMBER($C$6:INDEX($C:$C,ROW()-1)),$C$6:INDEX($C:$C,ROW()-1)),N(GIO_BAT_DAU))))</f>
        <v/>
      </c>
      <c r="C27" s="23" t="str">
        <f t="shared" si="0"/>
        <v/>
      </c>
      <c r="D27" s="24"/>
      <c r="E27" s="25"/>
      <c r="F27" s="21" t="str">
        <f>IF(OR(G27="",E27=""),"",IF(ROUND((IFERROR(LOOKUP(2,1/ISNUMBER($C$6:INDEX($C:$C,ROW()-1)),$C$6:INDEX($C:$C,ROW()-1)),N(GIO_BAT_DAU))-E27)*1440,0)&gt;0,"Trễ "&amp;ROUND((IFERROR(LOOKUP(2,1/ISNUMBER($C$6:INDEX($C:$C,ROW()-1)),$C$6:INDEX($C:$C,ROW()-1)),N(GIO_BAT_DAU))-E27)*1440,0)&amp;" phút",IF(ROUND((E27-IFERROR(LOOKUP(2,1/ISNUMBER($C$6:INDEX($C:$C,ROW()-1)),$C$6:INDEX($C:$C,ROW()-1)),N(GIO_BAT_DAU)))*1440,0)&gt;0,"Trống "&amp;ROUND((E27-IFERROR(LOOKUP(2,1/ISNUMBER($C$6:INDEX($C:$C,ROW()-1)),$C$6:INDEX($C:$C,ROW()-1)),N(GIO_BAT_DAU)))*1440,0)&amp;" phút","Đúng mốc")))</f>
        <v/>
      </c>
      <c r="G27" s="5"/>
      <c r="H27" s="5"/>
      <c r="I27" s="5"/>
      <c r="J27" s="5"/>
      <c r="M27" s="7"/>
      <c r="R27">
        <v>0</v>
      </c>
    </row>
    <row r="28" spans="1:18" ht="20" customHeight="1" x14ac:dyDescent="0.35">
      <c r="A28" s="17" t="str">
        <f>IF(G28="","",COUNTA($G$7:G28))</f>
        <v/>
      </c>
      <c r="B28" s="22" t="str">
        <f>IF(G28="","",IF(E28&lt;&gt;"",E28,IFERROR(LOOKUP(2,1/ISNUMBER($C$6:INDEX($C:$C,ROW()-1)),$C$6:INDEX($C:$C,ROW()-1)),N(GIO_BAT_DAU))))</f>
        <v/>
      </c>
      <c r="C28" s="23" t="str">
        <f t="shared" si="0"/>
        <v/>
      </c>
      <c r="D28" s="24"/>
      <c r="E28" s="25"/>
      <c r="F28" s="21" t="str">
        <f>IF(OR(G28="",E28=""),"",IF(ROUND((IFERROR(LOOKUP(2,1/ISNUMBER($C$6:INDEX($C:$C,ROW()-1)),$C$6:INDEX($C:$C,ROW()-1)),N(GIO_BAT_DAU))-E28)*1440,0)&gt;0,"Trễ "&amp;ROUND((IFERROR(LOOKUP(2,1/ISNUMBER($C$6:INDEX($C:$C,ROW()-1)),$C$6:INDEX($C:$C,ROW()-1)),N(GIO_BAT_DAU))-E28)*1440,0)&amp;" phút",IF(ROUND((E28-IFERROR(LOOKUP(2,1/ISNUMBER($C$6:INDEX($C:$C,ROW()-1)),$C$6:INDEX($C:$C,ROW()-1)),N(GIO_BAT_DAU)))*1440,0)&gt;0,"Trống "&amp;ROUND((E28-IFERROR(LOOKUP(2,1/ISNUMBER($C$6:INDEX($C:$C,ROW()-1)),$C$6:INDEX($C:$C,ROW()-1)),N(GIO_BAT_DAU)))*1440,0)&amp;" phút","Đúng mốc")))</f>
        <v/>
      </c>
      <c r="G28" s="5"/>
      <c r="H28" s="5"/>
      <c r="I28" s="5"/>
      <c r="J28" s="5"/>
      <c r="M28" s="7"/>
      <c r="R28">
        <v>0</v>
      </c>
    </row>
    <row r="29" spans="1:18" ht="20" customHeight="1" x14ac:dyDescent="0.35">
      <c r="A29" s="17" t="str">
        <f>IF(G29="","",COUNTA($G$7:G29))</f>
        <v/>
      </c>
      <c r="B29" s="22" t="str">
        <f>IF(G29="","",IF(E29&lt;&gt;"",E29,IFERROR(LOOKUP(2,1/ISNUMBER($C$6:INDEX($C:$C,ROW()-1)),$C$6:INDEX($C:$C,ROW()-1)),N(GIO_BAT_DAU))))</f>
        <v/>
      </c>
      <c r="C29" s="23" t="str">
        <f t="shared" si="0"/>
        <v/>
      </c>
      <c r="D29" s="24"/>
      <c r="E29" s="25"/>
      <c r="F29" s="21" t="str">
        <f>IF(OR(G29="",E29=""),"",IF(ROUND((IFERROR(LOOKUP(2,1/ISNUMBER($C$6:INDEX($C:$C,ROW()-1)),$C$6:INDEX($C:$C,ROW()-1)),N(GIO_BAT_DAU))-E29)*1440,0)&gt;0,"Trễ "&amp;ROUND((IFERROR(LOOKUP(2,1/ISNUMBER($C$6:INDEX($C:$C,ROW()-1)),$C$6:INDEX($C:$C,ROW()-1)),N(GIO_BAT_DAU))-E29)*1440,0)&amp;" phút",IF(ROUND((E29-IFERROR(LOOKUP(2,1/ISNUMBER($C$6:INDEX($C:$C,ROW()-1)),$C$6:INDEX($C:$C,ROW()-1)),N(GIO_BAT_DAU)))*1440,0)&gt;0,"Trống "&amp;ROUND((E29-IFERROR(LOOKUP(2,1/ISNUMBER($C$6:INDEX($C:$C,ROW()-1)),$C$6:INDEX($C:$C,ROW()-1)),N(GIO_BAT_DAU)))*1440,0)&amp;" phút","Đúng mốc")))</f>
        <v/>
      </c>
      <c r="G29" s="5"/>
      <c r="H29" s="5"/>
      <c r="I29" s="5"/>
      <c r="J29" s="5"/>
      <c r="M29" s="7"/>
      <c r="R29">
        <v>0</v>
      </c>
    </row>
    <row r="30" spans="1:18" ht="20" customHeight="1" x14ac:dyDescent="0.35">
      <c r="A30" s="17" t="str">
        <f>IF(G30="","",COUNTA($G$7:G30))</f>
        <v/>
      </c>
      <c r="B30" s="22" t="str">
        <f>IF(G30="","",IF(E30&lt;&gt;"",E30,IFERROR(LOOKUP(2,1/ISNUMBER($C$6:INDEX($C:$C,ROW()-1)),$C$6:INDEX($C:$C,ROW()-1)),N(GIO_BAT_DAU))))</f>
        <v/>
      </c>
      <c r="C30" s="23" t="str">
        <f t="shared" si="0"/>
        <v/>
      </c>
      <c r="D30" s="24"/>
      <c r="E30" s="25"/>
      <c r="F30" s="21" t="str">
        <f>IF(OR(G30="",E30=""),"",IF(ROUND((IFERROR(LOOKUP(2,1/ISNUMBER($C$6:INDEX($C:$C,ROW()-1)),$C$6:INDEX($C:$C,ROW()-1)),N(GIO_BAT_DAU))-E30)*1440,0)&gt;0,"Trễ "&amp;ROUND((IFERROR(LOOKUP(2,1/ISNUMBER($C$6:INDEX($C:$C,ROW()-1)),$C$6:INDEX($C:$C,ROW()-1)),N(GIO_BAT_DAU))-E30)*1440,0)&amp;" phút",IF(ROUND((E30-IFERROR(LOOKUP(2,1/ISNUMBER($C$6:INDEX($C:$C,ROW()-1)),$C$6:INDEX($C:$C,ROW()-1)),N(GIO_BAT_DAU)))*1440,0)&gt;0,"Trống "&amp;ROUND((E30-IFERROR(LOOKUP(2,1/ISNUMBER($C$6:INDEX($C:$C,ROW()-1)),$C$6:INDEX($C:$C,ROW()-1)),N(GIO_BAT_DAU)))*1440,0)&amp;" phút","Đúng mốc")))</f>
        <v/>
      </c>
      <c r="G30" s="5"/>
      <c r="H30" s="5"/>
      <c r="I30" s="5"/>
      <c r="J30" s="5"/>
      <c r="M30" s="7"/>
      <c r="R30">
        <v>0</v>
      </c>
    </row>
    <row r="31" spans="1:18" ht="20" customHeight="1" x14ac:dyDescent="0.35">
      <c r="A31" s="17" t="str">
        <f>IF(G31="","",COUNTA($G$7:G31))</f>
        <v/>
      </c>
      <c r="B31" s="22" t="str">
        <f>IF(G31="","",IF(E31&lt;&gt;"",E31,IFERROR(LOOKUP(2,1/ISNUMBER($C$6:INDEX($C:$C,ROW()-1)),$C$6:INDEX($C:$C,ROW()-1)),N(GIO_BAT_DAU))))</f>
        <v/>
      </c>
      <c r="C31" s="23" t="str">
        <f t="shared" si="0"/>
        <v/>
      </c>
      <c r="D31" s="24"/>
      <c r="E31" s="25"/>
      <c r="F31" s="21" t="str">
        <f>IF(OR(G31="",E31=""),"",IF(ROUND((IFERROR(LOOKUP(2,1/ISNUMBER($C$6:INDEX($C:$C,ROW()-1)),$C$6:INDEX($C:$C,ROW()-1)),N(GIO_BAT_DAU))-E31)*1440,0)&gt;0,"Trễ "&amp;ROUND((IFERROR(LOOKUP(2,1/ISNUMBER($C$6:INDEX($C:$C,ROW()-1)),$C$6:INDEX($C:$C,ROW()-1)),N(GIO_BAT_DAU))-E31)*1440,0)&amp;" phút",IF(ROUND((E31-IFERROR(LOOKUP(2,1/ISNUMBER($C$6:INDEX($C:$C,ROW()-1)),$C$6:INDEX($C:$C,ROW()-1)),N(GIO_BAT_DAU)))*1440,0)&gt;0,"Trống "&amp;ROUND((E31-IFERROR(LOOKUP(2,1/ISNUMBER($C$6:INDEX($C:$C,ROW()-1)),$C$6:INDEX($C:$C,ROW()-1)),N(GIO_BAT_DAU)))*1440,0)&amp;" phút","Đúng mốc")))</f>
        <v/>
      </c>
      <c r="G31" s="5"/>
      <c r="H31" s="5"/>
      <c r="I31" s="5"/>
      <c r="J31" s="5"/>
      <c r="M31" s="7"/>
      <c r="R31">
        <v>0</v>
      </c>
    </row>
    <row r="32" spans="1:18" ht="20" customHeight="1" x14ac:dyDescent="0.35">
      <c r="A32" s="17" t="str">
        <f>IF(G32="","",COUNTA($G$7:G32))</f>
        <v/>
      </c>
      <c r="B32" s="22" t="str">
        <f>IF(G32="","",IF(E32&lt;&gt;"",E32,IFERROR(LOOKUP(2,1/ISNUMBER($C$6:INDEX($C:$C,ROW()-1)),$C$6:INDEX($C:$C,ROW()-1)),N(GIO_BAT_DAU))))</f>
        <v/>
      </c>
      <c r="C32" s="23" t="str">
        <f t="shared" si="0"/>
        <v/>
      </c>
      <c r="D32" s="24"/>
      <c r="E32" s="25"/>
      <c r="F32" s="21" t="str">
        <f>IF(OR(G32="",E32=""),"",IF(ROUND((IFERROR(LOOKUP(2,1/ISNUMBER($C$6:INDEX($C:$C,ROW()-1)),$C$6:INDEX($C:$C,ROW()-1)),N(GIO_BAT_DAU))-E32)*1440,0)&gt;0,"Trễ "&amp;ROUND((IFERROR(LOOKUP(2,1/ISNUMBER($C$6:INDEX($C:$C,ROW()-1)),$C$6:INDEX($C:$C,ROW()-1)),N(GIO_BAT_DAU))-E32)*1440,0)&amp;" phút",IF(ROUND((E32-IFERROR(LOOKUP(2,1/ISNUMBER($C$6:INDEX($C:$C,ROW()-1)),$C$6:INDEX($C:$C,ROW()-1)),N(GIO_BAT_DAU)))*1440,0)&gt;0,"Trống "&amp;ROUND((E32-IFERROR(LOOKUP(2,1/ISNUMBER($C$6:INDEX($C:$C,ROW()-1)),$C$6:INDEX($C:$C,ROW()-1)),N(GIO_BAT_DAU)))*1440,0)&amp;" phút","Đúng mốc")))</f>
        <v/>
      </c>
      <c r="G32" s="5"/>
      <c r="H32" s="5"/>
      <c r="I32" s="5"/>
      <c r="J32" s="5"/>
      <c r="M32" s="7"/>
      <c r="R32">
        <v>0</v>
      </c>
    </row>
    <row r="33" spans="1:18" ht="20" customHeight="1" x14ac:dyDescent="0.35">
      <c r="A33" s="17" t="str">
        <f>IF(G33="","",COUNTA($G$7:G33))</f>
        <v/>
      </c>
      <c r="B33" s="22" t="str">
        <f>IF(G33="","",IF(E33&lt;&gt;"",E33,IFERROR(LOOKUP(2,1/ISNUMBER($C$6:INDEX($C:$C,ROW()-1)),$C$6:INDEX($C:$C,ROW()-1)),N(GIO_BAT_DAU))))</f>
        <v/>
      </c>
      <c r="C33" s="23" t="str">
        <f t="shared" si="0"/>
        <v/>
      </c>
      <c r="D33" s="24"/>
      <c r="E33" s="25"/>
      <c r="F33" s="21" t="str">
        <f>IF(OR(G33="",E33=""),"",IF(ROUND((IFERROR(LOOKUP(2,1/ISNUMBER($C$6:INDEX($C:$C,ROW()-1)),$C$6:INDEX($C:$C,ROW()-1)),N(GIO_BAT_DAU))-E33)*1440,0)&gt;0,"Trễ "&amp;ROUND((IFERROR(LOOKUP(2,1/ISNUMBER($C$6:INDEX($C:$C,ROW()-1)),$C$6:INDEX($C:$C,ROW()-1)),N(GIO_BAT_DAU))-E33)*1440,0)&amp;" phút",IF(ROUND((E33-IFERROR(LOOKUP(2,1/ISNUMBER($C$6:INDEX($C:$C,ROW()-1)),$C$6:INDEX($C:$C,ROW()-1)),N(GIO_BAT_DAU)))*1440,0)&gt;0,"Trống "&amp;ROUND((E33-IFERROR(LOOKUP(2,1/ISNUMBER($C$6:INDEX($C:$C,ROW()-1)),$C$6:INDEX($C:$C,ROW()-1)),N(GIO_BAT_DAU)))*1440,0)&amp;" phút","Đúng mốc")))</f>
        <v/>
      </c>
      <c r="G33" s="5"/>
      <c r="H33" s="5"/>
      <c r="I33" s="5"/>
      <c r="J33" s="5"/>
      <c r="M33" s="7"/>
      <c r="R33">
        <v>0</v>
      </c>
    </row>
    <row r="34" spans="1:18" ht="20" customHeight="1" x14ac:dyDescent="0.35">
      <c r="A34" s="17" t="str">
        <f>IF(G34="","",COUNTA($G$7:G34))</f>
        <v/>
      </c>
      <c r="B34" s="22" t="str">
        <f>IF(G34="","",IF(E34&lt;&gt;"",E34,IFERROR(LOOKUP(2,1/ISNUMBER($C$6:INDEX($C:$C,ROW()-1)),$C$6:INDEX($C:$C,ROW()-1)),N(GIO_BAT_DAU))))</f>
        <v/>
      </c>
      <c r="C34" s="23" t="str">
        <f t="shared" si="0"/>
        <v/>
      </c>
      <c r="D34" s="24"/>
      <c r="E34" s="25"/>
      <c r="F34" s="21" t="str">
        <f>IF(OR(G34="",E34=""),"",IF(ROUND((IFERROR(LOOKUP(2,1/ISNUMBER($C$6:INDEX($C:$C,ROW()-1)),$C$6:INDEX($C:$C,ROW()-1)),N(GIO_BAT_DAU))-E34)*1440,0)&gt;0,"Trễ "&amp;ROUND((IFERROR(LOOKUP(2,1/ISNUMBER($C$6:INDEX($C:$C,ROW()-1)),$C$6:INDEX($C:$C,ROW()-1)),N(GIO_BAT_DAU))-E34)*1440,0)&amp;" phút",IF(ROUND((E34-IFERROR(LOOKUP(2,1/ISNUMBER($C$6:INDEX($C:$C,ROW()-1)),$C$6:INDEX($C:$C,ROW()-1)),N(GIO_BAT_DAU)))*1440,0)&gt;0,"Trống "&amp;ROUND((E34-IFERROR(LOOKUP(2,1/ISNUMBER($C$6:INDEX($C:$C,ROW()-1)),$C$6:INDEX($C:$C,ROW()-1)),N(GIO_BAT_DAU)))*1440,0)&amp;" phút","Đúng mốc")))</f>
        <v/>
      </c>
      <c r="G34" s="5"/>
      <c r="H34" s="5"/>
      <c r="I34" s="5"/>
      <c r="J34" s="5"/>
      <c r="M34" s="7"/>
      <c r="R34">
        <v>0</v>
      </c>
    </row>
    <row r="35" spans="1:18" ht="20" customHeight="1" x14ac:dyDescent="0.35">
      <c r="A35" s="17" t="str">
        <f>IF(G35="","",COUNTA($G$7:G35))</f>
        <v/>
      </c>
      <c r="B35" s="22" t="str">
        <f>IF(G35="","",IF(E35&lt;&gt;"",E35,IFERROR(LOOKUP(2,1/ISNUMBER($C$6:INDEX($C:$C,ROW()-1)),$C$6:INDEX($C:$C,ROW()-1)),N(GIO_BAT_DAU))))</f>
        <v/>
      </c>
      <c r="C35" s="23" t="str">
        <f t="shared" si="0"/>
        <v/>
      </c>
      <c r="D35" s="24"/>
      <c r="E35" s="25"/>
      <c r="F35" s="21" t="str">
        <f>IF(OR(G35="",E35=""),"",IF(ROUND((IFERROR(LOOKUP(2,1/ISNUMBER($C$6:INDEX($C:$C,ROW()-1)),$C$6:INDEX($C:$C,ROW()-1)),N(GIO_BAT_DAU))-E35)*1440,0)&gt;0,"Trễ "&amp;ROUND((IFERROR(LOOKUP(2,1/ISNUMBER($C$6:INDEX($C:$C,ROW()-1)),$C$6:INDEX($C:$C,ROW()-1)),N(GIO_BAT_DAU))-E35)*1440,0)&amp;" phút",IF(ROUND((E35-IFERROR(LOOKUP(2,1/ISNUMBER($C$6:INDEX($C:$C,ROW()-1)),$C$6:INDEX($C:$C,ROW()-1)),N(GIO_BAT_DAU)))*1440,0)&gt;0,"Trống "&amp;ROUND((E35-IFERROR(LOOKUP(2,1/ISNUMBER($C$6:INDEX($C:$C,ROW()-1)),$C$6:INDEX($C:$C,ROW()-1)),N(GIO_BAT_DAU)))*1440,0)&amp;" phút","Đúng mốc")))</f>
        <v/>
      </c>
      <c r="G35" s="5"/>
      <c r="H35" s="5"/>
      <c r="I35" s="5"/>
      <c r="J35" s="5"/>
      <c r="M35" s="7"/>
      <c r="R35">
        <v>0</v>
      </c>
    </row>
    <row r="36" spans="1:18" ht="20" customHeight="1" x14ac:dyDescent="0.35">
      <c r="A36" s="17" t="str">
        <f>IF(G36="","",COUNTA($G$7:G36))</f>
        <v/>
      </c>
      <c r="B36" s="22" t="str">
        <f>IF(G36="","",IF(E36&lt;&gt;"",E36,IFERROR(LOOKUP(2,1/ISNUMBER($C$6:INDEX($C:$C,ROW()-1)),$C$6:INDEX($C:$C,ROW()-1)),N(GIO_BAT_DAU))))</f>
        <v/>
      </c>
      <c r="C36" s="23" t="str">
        <f t="shared" si="0"/>
        <v/>
      </c>
      <c r="D36" s="24"/>
      <c r="E36" s="25"/>
      <c r="F36" s="21" t="str">
        <f>IF(OR(G36="",E36=""),"",IF(ROUND((IFERROR(LOOKUP(2,1/ISNUMBER($C$6:INDEX($C:$C,ROW()-1)),$C$6:INDEX($C:$C,ROW()-1)),N(GIO_BAT_DAU))-E36)*1440,0)&gt;0,"Trễ "&amp;ROUND((IFERROR(LOOKUP(2,1/ISNUMBER($C$6:INDEX($C:$C,ROW()-1)),$C$6:INDEX($C:$C,ROW()-1)),N(GIO_BAT_DAU))-E36)*1440,0)&amp;" phút",IF(ROUND((E36-IFERROR(LOOKUP(2,1/ISNUMBER($C$6:INDEX($C:$C,ROW()-1)),$C$6:INDEX($C:$C,ROW()-1)),N(GIO_BAT_DAU)))*1440,0)&gt;0,"Trống "&amp;ROUND((E36-IFERROR(LOOKUP(2,1/ISNUMBER($C$6:INDEX($C:$C,ROW()-1)),$C$6:INDEX($C:$C,ROW()-1)),N(GIO_BAT_DAU)))*1440,0)&amp;" phút","Đúng mốc")))</f>
        <v/>
      </c>
      <c r="G36" s="5"/>
      <c r="H36" s="5"/>
      <c r="I36" s="5"/>
      <c r="J36" s="5"/>
      <c r="M36" s="7"/>
      <c r="R36">
        <v>0</v>
      </c>
    </row>
    <row r="37" spans="1:18" ht="20" customHeight="1" x14ac:dyDescent="0.35">
      <c r="A37" s="17" t="str">
        <f>IF(G37="","",COUNTA($G$7:G37))</f>
        <v/>
      </c>
      <c r="B37" s="22" t="str">
        <f>IF(G37="","",IF(E37&lt;&gt;"",E37,IFERROR(LOOKUP(2,1/ISNUMBER($C$6:INDEX($C:$C,ROW()-1)),$C$6:INDEX($C:$C,ROW()-1)),N(GIO_BAT_DAU))))</f>
        <v/>
      </c>
      <c r="C37" s="23" t="str">
        <f t="shared" si="0"/>
        <v/>
      </c>
      <c r="D37" s="24"/>
      <c r="E37" s="25"/>
      <c r="F37" s="21" t="str">
        <f>IF(OR(G37="",E37=""),"",IF(ROUND((IFERROR(LOOKUP(2,1/ISNUMBER($C$6:INDEX($C:$C,ROW()-1)),$C$6:INDEX($C:$C,ROW()-1)),N(GIO_BAT_DAU))-E37)*1440,0)&gt;0,"Trễ "&amp;ROUND((IFERROR(LOOKUP(2,1/ISNUMBER($C$6:INDEX($C:$C,ROW()-1)),$C$6:INDEX($C:$C,ROW()-1)),N(GIO_BAT_DAU))-E37)*1440,0)&amp;" phút",IF(ROUND((E37-IFERROR(LOOKUP(2,1/ISNUMBER($C$6:INDEX($C:$C,ROW()-1)),$C$6:INDEX($C:$C,ROW()-1)),N(GIO_BAT_DAU)))*1440,0)&gt;0,"Trống "&amp;ROUND((E37-IFERROR(LOOKUP(2,1/ISNUMBER($C$6:INDEX($C:$C,ROW()-1)),$C$6:INDEX($C:$C,ROW()-1)),N(GIO_BAT_DAU)))*1440,0)&amp;" phút","Đúng mốc")))</f>
        <v/>
      </c>
      <c r="G37" s="5"/>
      <c r="H37" s="5"/>
      <c r="I37" s="5"/>
      <c r="J37" s="5"/>
      <c r="M37" s="7"/>
      <c r="R37">
        <v>0</v>
      </c>
    </row>
    <row r="38" spans="1:18" ht="20" customHeight="1" x14ac:dyDescent="0.35">
      <c r="A38" s="17" t="str">
        <f>IF(G38="","",COUNTA($G$7:G38))</f>
        <v/>
      </c>
      <c r="B38" s="22" t="str">
        <f>IF(G38="","",IF(E38&lt;&gt;"",E38,IFERROR(LOOKUP(2,1/ISNUMBER($C$6:INDEX($C:$C,ROW()-1)),$C$6:INDEX($C:$C,ROW()-1)),N(GIO_BAT_DAU))))</f>
        <v/>
      </c>
      <c r="C38" s="23" t="str">
        <f t="shared" si="0"/>
        <v/>
      </c>
      <c r="D38" s="24"/>
      <c r="E38" s="25"/>
      <c r="F38" s="21" t="str">
        <f>IF(OR(G38="",E38=""),"",IF(ROUND((IFERROR(LOOKUP(2,1/ISNUMBER($C$6:INDEX($C:$C,ROW()-1)),$C$6:INDEX($C:$C,ROW()-1)),N(GIO_BAT_DAU))-E38)*1440,0)&gt;0,"Trễ "&amp;ROUND((IFERROR(LOOKUP(2,1/ISNUMBER($C$6:INDEX($C:$C,ROW()-1)),$C$6:INDEX($C:$C,ROW()-1)),N(GIO_BAT_DAU))-E38)*1440,0)&amp;" phút",IF(ROUND((E38-IFERROR(LOOKUP(2,1/ISNUMBER($C$6:INDEX($C:$C,ROW()-1)),$C$6:INDEX($C:$C,ROW()-1)),N(GIO_BAT_DAU)))*1440,0)&gt;0,"Trống "&amp;ROUND((E38-IFERROR(LOOKUP(2,1/ISNUMBER($C$6:INDEX($C:$C,ROW()-1)),$C$6:INDEX($C:$C,ROW()-1)),N(GIO_BAT_DAU)))*1440,0)&amp;" phút","Đúng mốc")))</f>
        <v/>
      </c>
      <c r="G38" s="5"/>
      <c r="H38" s="5"/>
      <c r="I38" s="5"/>
      <c r="J38" s="5"/>
      <c r="M38" s="7"/>
      <c r="R38">
        <v>0</v>
      </c>
    </row>
    <row r="39" spans="1:18" ht="20" customHeight="1" x14ac:dyDescent="0.35">
      <c r="A39" s="17" t="str">
        <f>IF(G39="","",COUNTA($G$7:G39))</f>
        <v/>
      </c>
      <c r="B39" s="22" t="str">
        <f>IF(G39="","",IF(E39&lt;&gt;"",E39,IFERROR(LOOKUP(2,1/ISNUMBER($C$6:INDEX($C:$C,ROW()-1)),$C$6:INDEX($C:$C,ROW()-1)),N(GIO_BAT_DAU))))</f>
        <v/>
      </c>
      <c r="C39" s="23" t="str">
        <f t="shared" si="0"/>
        <v/>
      </c>
      <c r="D39" s="24"/>
      <c r="E39" s="25"/>
      <c r="F39" s="21" t="str">
        <f>IF(OR(G39="",E39=""),"",IF(ROUND((IFERROR(LOOKUP(2,1/ISNUMBER($C$6:INDEX($C:$C,ROW()-1)),$C$6:INDEX($C:$C,ROW()-1)),N(GIO_BAT_DAU))-E39)*1440,0)&gt;0,"Trễ "&amp;ROUND((IFERROR(LOOKUP(2,1/ISNUMBER($C$6:INDEX($C:$C,ROW()-1)),$C$6:INDEX($C:$C,ROW()-1)),N(GIO_BAT_DAU))-E39)*1440,0)&amp;" phút",IF(ROUND((E39-IFERROR(LOOKUP(2,1/ISNUMBER($C$6:INDEX($C:$C,ROW()-1)),$C$6:INDEX($C:$C,ROW()-1)),N(GIO_BAT_DAU)))*1440,0)&gt;0,"Trống "&amp;ROUND((E39-IFERROR(LOOKUP(2,1/ISNUMBER($C$6:INDEX($C:$C,ROW()-1)),$C$6:INDEX($C:$C,ROW()-1)),N(GIO_BAT_DAU)))*1440,0)&amp;" phút","Đúng mốc")))</f>
        <v/>
      </c>
      <c r="G39" s="5"/>
      <c r="H39" s="5"/>
      <c r="I39" s="5"/>
      <c r="J39" s="5"/>
      <c r="M39" s="7"/>
      <c r="R39">
        <v>0</v>
      </c>
    </row>
    <row r="40" spans="1:18" ht="20" customHeight="1" x14ac:dyDescent="0.35">
      <c r="A40" s="17" t="str">
        <f>IF(G40="","",COUNTA($G$7:G40))</f>
        <v/>
      </c>
      <c r="B40" s="22" t="str">
        <f>IF(G40="","",IF(E40&lt;&gt;"",E40,IFERROR(LOOKUP(2,1/ISNUMBER($C$6:INDEX($C:$C,ROW()-1)),$C$6:INDEX($C:$C,ROW()-1)),N(GIO_BAT_DAU))))</f>
        <v/>
      </c>
      <c r="C40" s="23" t="str">
        <f t="shared" si="0"/>
        <v/>
      </c>
      <c r="D40" s="24"/>
      <c r="E40" s="25"/>
      <c r="F40" s="21" t="str">
        <f>IF(OR(G40="",E40=""),"",IF(ROUND((IFERROR(LOOKUP(2,1/ISNUMBER($C$6:INDEX($C:$C,ROW()-1)),$C$6:INDEX($C:$C,ROW()-1)),N(GIO_BAT_DAU))-E40)*1440,0)&gt;0,"Trễ "&amp;ROUND((IFERROR(LOOKUP(2,1/ISNUMBER($C$6:INDEX($C:$C,ROW()-1)),$C$6:INDEX($C:$C,ROW()-1)),N(GIO_BAT_DAU))-E40)*1440,0)&amp;" phút",IF(ROUND((E40-IFERROR(LOOKUP(2,1/ISNUMBER($C$6:INDEX($C:$C,ROW()-1)),$C$6:INDEX($C:$C,ROW()-1)),N(GIO_BAT_DAU)))*1440,0)&gt;0,"Trống "&amp;ROUND((E40-IFERROR(LOOKUP(2,1/ISNUMBER($C$6:INDEX($C:$C,ROW()-1)),$C$6:INDEX($C:$C,ROW()-1)),N(GIO_BAT_DAU)))*1440,0)&amp;" phút","Đúng mốc")))</f>
        <v/>
      </c>
      <c r="G40" s="5"/>
      <c r="H40" s="5"/>
      <c r="I40" s="5"/>
      <c r="J40" s="5"/>
      <c r="M40" s="7"/>
      <c r="R40">
        <v>0</v>
      </c>
    </row>
    <row r="41" spans="1:18" ht="20" customHeight="1" x14ac:dyDescent="0.35">
      <c r="A41" s="17" t="str">
        <f>IF(G41="","",COUNTA($G$7:G41))</f>
        <v/>
      </c>
      <c r="B41" s="22" t="str">
        <f>IF(G41="","",IF(E41&lt;&gt;"",E41,IFERROR(LOOKUP(2,1/ISNUMBER($C$6:INDEX($C:$C,ROW()-1)),$C$6:INDEX($C:$C,ROW()-1)),N(GIO_BAT_DAU))))</f>
        <v/>
      </c>
      <c r="C41" s="23" t="str">
        <f t="shared" si="0"/>
        <v/>
      </c>
      <c r="D41" s="24"/>
      <c r="E41" s="25"/>
      <c r="F41" s="21" t="str">
        <f>IF(OR(G41="",E41=""),"",IF(ROUND((IFERROR(LOOKUP(2,1/ISNUMBER($C$6:INDEX($C:$C,ROW()-1)),$C$6:INDEX($C:$C,ROW()-1)),N(GIO_BAT_DAU))-E41)*1440,0)&gt;0,"Trễ "&amp;ROUND((IFERROR(LOOKUP(2,1/ISNUMBER($C$6:INDEX($C:$C,ROW()-1)),$C$6:INDEX($C:$C,ROW()-1)),N(GIO_BAT_DAU))-E41)*1440,0)&amp;" phút",IF(ROUND((E41-IFERROR(LOOKUP(2,1/ISNUMBER($C$6:INDEX($C:$C,ROW()-1)),$C$6:INDEX($C:$C,ROW()-1)),N(GIO_BAT_DAU)))*1440,0)&gt;0,"Trống "&amp;ROUND((E41-IFERROR(LOOKUP(2,1/ISNUMBER($C$6:INDEX($C:$C,ROW()-1)),$C$6:INDEX($C:$C,ROW()-1)),N(GIO_BAT_DAU)))*1440,0)&amp;" phút","Đúng mốc")))</f>
        <v/>
      </c>
      <c r="G41" s="5"/>
      <c r="H41" s="5"/>
      <c r="I41" s="5"/>
      <c r="J41" s="5"/>
      <c r="M41" s="7"/>
      <c r="R41">
        <v>0</v>
      </c>
    </row>
    <row r="42" spans="1:18" ht="20" customHeight="1" x14ac:dyDescent="0.35">
      <c r="A42" s="17" t="str">
        <f>IF(G42="","",COUNTA($G$7:G42))</f>
        <v/>
      </c>
      <c r="B42" s="22" t="str">
        <f>IF(G42="","",IF(E42&lt;&gt;"",E42,IFERROR(LOOKUP(2,1/ISNUMBER($C$6:INDEX($C:$C,ROW()-1)),$C$6:INDEX($C:$C,ROW()-1)),N(GIO_BAT_DAU))))</f>
        <v/>
      </c>
      <c r="C42" s="23" t="str">
        <f t="shared" si="0"/>
        <v/>
      </c>
      <c r="D42" s="24"/>
      <c r="E42" s="25"/>
      <c r="F42" s="21" t="str">
        <f>IF(OR(G42="",E42=""),"",IF(ROUND((IFERROR(LOOKUP(2,1/ISNUMBER($C$6:INDEX($C:$C,ROW()-1)),$C$6:INDEX($C:$C,ROW()-1)),N(GIO_BAT_DAU))-E42)*1440,0)&gt;0,"Trễ "&amp;ROUND((IFERROR(LOOKUP(2,1/ISNUMBER($C$6:INDEX($C:$C,ROW()-1)),$C$6:INDEX($C:$C,ROW()-1)),N(GIO_BAT_DAU))-E42)*1440,0)&amp;" phút",IF(ROUND((E42-IFERROR(LOOKUP(2,1/ISNUMBER($C$6:INDEX($C:$C,ROW()-1)),$C$6:INDEX($C:$C,ROW()-1)),N(GIO_BAT_DAU)))*1440,0)&gt;0,"Trống "&amp;ROUND((E42-IFERROR(LOOKUP(2,1/ISNUMBER($C$6:INDEX($C:$C,ROW()-1)),$C$6:INDEX($C:$C,ROW()-1)),N(GIO_BAT_DAU)))*1440,0)&amp;" phút","Đúng mốc")))</f>
        <v/>
      </c>
      <c r="G42" s="5"/>
      <c r="H42" s="5"/>
      <c r="I42" s="5"/>
      <c r="J42" s="5"/>
      <c r="M42" s="7"/>
      <c r="R42">
        <v>0</v>
      </c>
    </row>
    <row r="43" spans="1:18" ht="20" customHeight="1" x14ac:dyDescent="0.35">
      <c r="A43" s="17" t="str">
        <f>IF(G43="","",COUNTA($G$7:G43))</f>
        <v/>
      </c>
      <c r="B43" s="22" t="str">
        <f>IF(G43="","",IF(E43&lt;&gt;"",E43,IFERROR(LOOKUP(2,1/ISNUMBER($C$6:INDEX($C:$C,ROW()-1)),$C$6:INDEX($C:$C,ROW()-1)),N(GIO_BAT_DAU))))</f>
        <v/>
      </c>
      <c r="C43" s="23" t="str">
        <f t="shared" si="0"/>
        <v/>
      </c>
      <c r="D43" s="24"/>
      <c r="E43" s="25"/>
      <c r="F43" s="21" t="str">
        <f>IF(OR(G43="",E43=""),"",IF(ROUND((IFERROR(LOOKUP(2,1/ISNUMBER($C$6:INDEX($C:$C,ROW()-1)),$C$6:INDEX($C:$C,ROW()-1)),N(GIO_BAT_DAU))-E43)*1440,0)&gt;0,"Trễ "&amp;ROUND((IFERROR(LOOKUP(2,1/ISNUMBER($C$6:INDEX($C:$C,ROW()-1)),$C$6:INDEX($C:$C,ROW()-1)),N(GIO_BAT_DAU))-E43)*1440,0)&amp;" phút",IF(ROUND((E43-IFERROR(LOOKUP(2,1/ISNUMBER($C$6:INDEX($C:$C,ROW()-1)),$C$6:INDEX($C:$C,ROW()-1)),N(GIO_BAT_DAU)))*1440,0)&gt;0,"Trống "&amp;ROUND((E43-IFERROR(LOOKUP(2,1/ISNUMBER($C$6:INDEX($C:$C,ROW()-1)),$C$6:INDEX($C:$C,ROW()-1)),N(GIO_BAT_DAU)))*1440,0)&amp;" phút","Đúng mốc")))</f>
        <v/>
      </c>
      <c r="G43" s="5"/>
      <c r="H43" s="5"/>
      <c r="I43" s="5"/>
      <c r="J43" s="5"/>
      <c r="M43" s="7"/>
      <c r="R43">
        <v>0</v>
      </c>
    </row>
    <row r="44" spans="1:18" ht="20" customHeight="1" x14ac:dyDescent="0.35">
      <c r="A44" s="17" t="str">
        <f>IF(G44="","",COUNTA($G$7:G44))</f>
        <v/>
      </c>
      <c r="B44" s="22" t="str">
        <f>IF(G44="","",IF(E44&lt;&gt;"",E44,IFERROR(LOOKUP(2,1/ISNUMBER($C$6:INDEX($C:$C,ROW()-1)),$C$6:INDEX($C:$C,ROW()-1)),N(GIO_BAT_DAU))))</f>
        <v/>
      </c>
      <c r="C44" s="23" t="str">
        <f t="shared" si="0"/>
        <v/>
      </c>
      <c r="D44" s="24"/>
      <c r="E44" s="25"/>
      <c r="F44" s="21" t="str">
        <f>IF(OR(G44="",E44=""),"",IF(ROUND((IFERROR(LOOKUP(2,1/ISNUMBER($C$6:INDEX($C:$C,ROW()-1)),$C$6:INDEX($C:$C,ROW()-1)),N(GIO_BAT_DAU))-E44)*1440,0)&gt;0,"Trễ "&amp;ROUND((IFERROR(LOOKUP(2,1/ISNUMBER($C$6:INDEX($C:$C,ROW()-1)),$C$6:INDEX($C:$C,ROW()-1)),N(GIO_BAT_DAU))-E44)*1440,0)&amp;" phút",IF(ROUND((E44-IFERROR(LOOKUP(2,1/ISNUMBER($C$6:INDEX($C:$C,ROW()-1)),$C$6:INDEX($C:$C,ROW()-1)),N(GIO_BAT_DAU)))*1440,0)&gt;0,"Trống "&amp;ROUND((E44-IFERROR(LOOKUP(2,1/ISNUMBER($C$6:INDEX($C:$C,ROW()-1)),$C$6:INDEX($C:$C,ROW()-1)),N(GIO_BAT_DAU)))*1440,0)&amp;" phút","Đúng mốc")))</f>
        <v/>
      </c>
      <c r="G44" s="5"/>
      <c r="H44" s="5"/>
      <c r="I44" s="5"/>
      <c r="J44" s="5"/>
      <c r="M44" s="7"/>
      <c r="R44">
        <v>0</v>
      </c>
    </row>
    <row r="45" spans="1:18" ht="20" customHeight="1" x14ac:dyDescent="0.35">
      <c r="A45" s="17" t="str">
        <f>IF(G45="","",COUNTA($G$7:G45))</f>
        <v/>
      </c>
      <c r="B45" s="22" t="str">
        <f>IF(G45="","",IF(E45&lt;&gt;"",E45,IFERROR(LOOKUP(2,1/ISNUMBER($C$6:INDEX($C:$C,ROW()-1)),$C$6:INDEX($C:$C,ROW()-1)),N(GIO_BAT_DAU))))</f>
        <v/>
      </c>
      <c r="C45" s="23" t="str">
        <f t="shared" si="0"/>
        <v/>
      </c>
      <c r="D45" s="24"/>
      <c r="E45" s="25"/>
      <c r="F45" s="21" t="str">
        <f>IF(OR(G45="",E45=""),"",IF(ROUND((IFERROR(LOOKUP(2,1/ISNUMBER($C$6:INDEX($C:$C,ROW()-1)),$C$6:INDEX($C:$C,ROW()-1)),N(GIO_BAT_DAU))-E45)*1440,0)&gt;0,"Trễ "&amp;ROUND((IFERROR(LOOKUP(2,1/ISNUMBER($C$6:INDEX($C:$C,ROW()-1)),$C$6:INDEX($C:$C,ROW()-1)),N(GIO_BAT_DAU))-E45)*1440,0)&amp;" phút",IF(ROUND((E45-IFERROR(LOOKUP(2,1/ISNUMBER($C$6:INDEX($C:$C,ROW()-1)),$C$6:INDEX($C:$C,ROW()-1)),N(GIO_BAT_DAU)))*1440,0)&gt;0,"Trống "&amp;ROUND((E45-IFERROR(LOOKUP(2,1/ISNUMBER($C$6:INDEX($C:$C,ROW()-1)),$C$6:INDEX($C:$C,ROW()-1)),N(GIO_BAT_DAU)))*1440,0)&amp;" phút","Đúng mốc")))</f>
        <v/>
      </c>
      <c r="G45" s="5"/>
      <c r="H45" s="5"/>
      <c r="I45" s="5"/>
      <c r="J45" s="5"/>
      <c r="M45" s="7"/>
      <c r="R45">
        <v>0</v>
      </c>
    </row>
    <row r="46" spans="1:18" ht="20" customHeight="1" x14ac:dyDescent="0.35">
      <c r="A46" s="17" t="str">
        <f>IF(G46="","",COUNTA($G$7:G46))</f>
        <v/>
      </c>
      <c r="B46" s="22" t="str">
        <f>IF(G46="","",IF(E46&lt;&gt;"",E46,IFERROR(LOOKUP(2,1/ISNUMBER($C$6:INDEX($C:$C,ROW()-1)),$C$6:INDEX($C:$C,ROW()-1)),N(GIO_BAT_DAU))))</f>
        <v/>
      </c>
      <c r="C46" s="23" t="str">
        <f t="shared" si="0"/>
        <v/>
      </c>
      <c r="D46" s="24"/>
      <c r="E46" s="25"/>
      <c r="F46" s="21" t="str">
        <f>IF(OR(G46="",E46=""),"",IF(ROUND((IFERROR(LOOKUP(2,1/ISNUMBER($C$6:INDEX($C:$C,ROW()-1)),$C$6:INDEX($C:$C,ROW()-1)),N(GIO_BAT_DAU))-E46)*1440,0)&gt;0,"Trễ "&amp;ROUND((IFERROR(LOOKUP(2,1/ISNUMBER($C$6:INDEX($C:$C,ROW()-1)),$C$6:INDEX($C:$C,ROW()-1)),N(GIO_BAT_DAU))-E46)*1440,0)&amp;" phút",IF(ROUND((E46-IFERROR(LOOKUP(2,1/ISNUMBER($C$6:INDEX($C:$C,ROW()-1)),$C$6:INDEX($C:$C,ROW()-1)),N(GIO_BAT_DAU)))*1440,0)&gt;0,"Trống "&amp;ROUND((E46-IFERROR(LOOKUP(2,1/ISNUMBER($C$6:INDEX($C:$C,ROW()-1)),$C$6:INDEX($C:$C,ROW()-1)),N(GIO_BAT_DAU)))*1440,0)&amp;" phút","Đúng mốc")))</f>
        <v/>
      </c>
      <c r="G46" s="5"/>
      <c r="H46" s="5"/>
      <c r="I46" s="5"/>
      <c r="J46" s="5"/>
      <c r="M46" s="7"/>
      <c r="R46">
        <v>0</v>
      </c>
    </row>
  </sheetData>
  <sheetProtection sheet="1" objects="1" scenarios="1" formatColumns="0" formatRows="0" autoFilter="0"/>
  <autoFilter ref="A6:J46" xr:uid="{00000000-0009-0000-0000-000002000000}"/>
  <mergeCells count="13">
    <mergeCell ref="A4:B4"/>
    <mergeCell ref="A1:J1"/>
    <mergeCell ref="E4:F4"/>
    <mergeCell ref="H3:I3"/>
    <mergeCell ref="G4"/>
    <mergeCell ref="G3"/>
    <mergeCell ref="J4"/>
    <mergeCell ref="J3"/>
    <mergeCell ref="H4:I4"/>
    <mergeCell ref="C3:D3"/>
    <mergeCell ref="A3:B3"/>
    <mergeCell ref="E3:F3"/>
    <mergeCell ref="C4:D4"/>
  </mergeCells>
  <conditionalFormatting sqref="D7:D46">
    <cfRule type="expression" dxfId="11" priority="3" stopIfTrue="1">
      <formula>AND(DA_THAY&lt;&gt;"Rồi",$R7=1,D7=$L7)</formula>
    </cfRule>
  </conditionalFormatting>
  <conditionalFormatting sqref="E7:E46">
    <cfRule type="expression" dxfId="10" priority="4" stopIfTrue="1">
      <formula>AND(DA_THAY&lt;&gt;"Rồi",$R7=1,E7=$M7)</formula>
    </cfRule>
  </conditionalFormatting>
  <conditionalFormatting sqref="F7:F46">
    <cfRule type="expression" dxfId="9" priority="9">
      <formula>LEFT(F7,3)="Trễ"</formula>
    </cfRule>
    <cfRule type="expression" dxfId="8" priority="10">
      <formula>LEFT(F7,5)="Trống"</formula>
    </cfRule>
    <cfRule type="expression" dxfId="7" priority="11">
      <formula>F7="Đúng mốc"</formula>
    </cfRule>
  </conditionalFormatting>
  <conditionalFormatting sqref="G7:G46">
    <cfRule type="expression" dxfId="6" priority="5" stopIfTrue="1">
      <formula>AND(DA_THAY&lt;&gt;"Rồi",$R7=1,G7=$N7)</formula>
    </cfRule>
  </conditionalFormatting>
  <conditionalFormatting sqref="H4">
    <cfRule type="expression" dxfId="5" priority="1">
      <formula>H4&lt;0</formula>
    </cfRule>
    <cfRule type="expression" dxfId="4" priority="2">
      <formula>AND(H4&gt;=0,COUNT(C7:C46)&gt;0)</formula>
    </cfRule>
  </conditionalFormatting>
  <conditionalFormatting sqref="H7:H46">
    <cfRule type="expression" dxfId="3" priority="6" stopIfTrue="1">
      <formula>AND(DA_THAY&lt;&gt;"Rồi",$R7=1,H7=$O7)</formula>
    </cfRule>
    <cfRule type="expression" dxfId="2" priority="12">
      <formula>AND($G7&lt;&gt;"",H7="")</formula>
    </cfRule>
  </conditionalFormatting>
  <conditionalFormatting sqref="I7:I46">
    <cfRule type="expression" dxfId="1" priority="7" stopIfTrue="1">
      <formula>AND(DA_THAY&lt;&gt;"Rồi",$R7=1,I7=$P7)</formula>
    </cfRule>
  </conditionalFormatting>
  <conditionalFormatting sqref="J7:J46">
    <cfRule type="expression" dxfId="0" priority="8" stopIfTrue="1">
      <formula>AND(DA_THAY&lt;&gt;"Rồi",$R7=1,J7=$Q7)</formula>
    </cfRule>
  </conditionalFormatting>
  <dataValidations count="2">
    <dataValidation type="list" allowBlank="1" showInputMessage="1" showErrorMessage="1" errorTitle="Không có trong danh sách" error="Chọn một giá trị trong danh sách." promptTitle="Chọn trong danh sách" prompt="Mỗi dòng một người phụ trách." sqref="H7:H46" xr:uid="{00000000-0002-0000-0200-000000000000}">
      <formula1>DS_NGUOI</formula1>
    </dataValidation>
    <dataValidation type="whole" allowBlank="1" showInputMessage="1" showErrorMessage="1" errorTitle="Số chưa hợp lệ" error="Nhập số từ 0 tới 1440." promptTitle="Gợi ý" prompt="Thời lượng tính bằng phút." sqref="D7:D46" xr:uid="{00000000-0002-0000-0200-000001000000}">
      <formula1>0</formula1>
      <formula2>1440</formula2>
    </dataValidation>
  </dataValidations>
  <printOptions horizontalCentered="1"/>
  <pageMargins left="0.4" right="0.4" top="0.45" bottom="0.55000000000000004" header="0.5" footer="0.5"/>
  <pageSetup paperSize="9" scale="83" fitToHeight="0" orientation="landscape" r:id="rId1"/>
  <headerFooter scaleWithDoc="0">
    <oddFooter>&amp;C&amp;9 &amp;K98A2B3Mẫu của A.M Agency – amagency.vn&amp;R&amp;9 &amp;K98A2B3Trang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8A2B3"/>
    <pageSetUpPr fitToPage="1"/>
  </sheetPr>
  <dimension ref="A1:G18"/>
  <sheetViews>
    <sheetView showGridLines="0" zoomScaleNormal="100" workbookViewId="0">
      <pane ySplit="4" topLeftCell="A5" activePane="bottomLeft" state="frozen"/>
      <selection pane="bottomLeft" sqref="A1:G1"/>
    </sheetView>
  </sheetViews>
  <sheetFormatPr defaultRowHeight="14.5" x14ac:dyDescent="0.35"/>
  <cols>
    <col min="1" max="1" width="30" customWidth="1"/>
    <col min="2" max="2" width="12" customWidth="1"/>
    <col min="3" max="3" width="28" customWidth="1"/>
    <col min="4" max="4" width="24" customWidth="1"/>
    <col min="5" max="5" width="14" customWidth="1"/>
    <col min="6" max="6" width="24" customWidth="1"/>
    <col min="7" max="7" width="14" customWidth="1"/>
  </cols>
  <sheetData>
    <row r="1" spans="1:7" ht="30" customHeight="1" x14ac:dyDescent="0.35">
      <c r="A1" s="54" t="s">
        <v>143</v>
      </c>
      <c r="B1" s="55"/>
      <c r="C1" s="55"/>
      <c r="D1" s="55"/>
      <c r="E1" s="55"/>
      <c r="F1" s="55"/>
      <c r="G1" s="55"/>
    </row>
    <row r="2" spans="1:7" ht="28" customHeight="1" x14ac:dyDescent="0.35">
      <c r="A2" s="12" t="s">
        <v>144</v>
      </c>
    </row>
    <row r="4" spans="1:7" ht="24" customHeight="1" x14ac:dyDescent="0.35">
      <c r="A4" s="26" t="s">
        <v>40</v>
      </c>
      <c r="B4" s="26" t="s">
        <v>145</v>
      </c>
      <c r="C4" s="26" t="s">
        <v>50</v>
      </c>
      <c r="D4" s="26" t="s">
        <v>146</v>
      </c>
      <c r="E4" s="26" t="s">
        <v>54</v>
      </c>
      <c r="F4" s="26" t="s">
        <v>12</v>
      </c>
      <c r="G4" s="26" t="s">
        <v>147</v>
      </c>
    </row>
    <row r="5" spans="1:7" ht="20" customHeight="1" x14ac:dyDescent="0.35">
      <c r="A5" s="5" t="s">
        <v>57</v>
      </c>
      <c r="B5" s="27"/>
      <c r="C5" s="5" t="s">
        <v>59</v>
      </c>
      <c r="D5" s="5" t="s">
        <v>148</v>
      </c>
      <c r="E5" s="5" t="s">
        <v>83</v>
      </c>
      <c r="F5" s="5" t="s">
        <v>149</v>
      </c>
      <c r="G5" s="5" t="s">
        <v>150</v>
      </c>
    </row>
    <row r="6" spans="1:7" ht="20" customHeight="1" x14ac:dyDescent="0.35">
      <c r="A6" s="5" t="s">
        <v>61</v>
      </c>
      <c r="B6" s="28"/>
      <c r="C6" s="5" t="s">
        <v>63</v>
      </c>
      <c r="D6" s="5" t="s">
        <v>151</v>
      </c>
      <c r="E6" s="5" t="s">
        <v>81</v>
      </c>
      <c r="F6" s="5" t="s">
        <v>152</v>
      </c>
      <c r="G6" s="5" t="s">
        <v>60</v>
      </c>
    </row>
    <row r="7" spans="1:7" ht="20" customHeight="1" x14ac:dyDescent="0.35">
      <c r="A7" s="5" t="s">
        <v>64</v>
      </c>
      <c r="B7" s="29"/>
      <c r="C7" s="5" t="s">
        <v>66</v>
      </c>
      <c r="D7" s="5" t="s">
        <v>153</v>
      </c>
      <c r="E7" s="5" t="s">
        <v>73</v>
      </c>
      <c r="F7" s="5" t="s">
        <v>154</v>
      </c>
      <c r="G7" s="5" t="s">
        <v>70</v>
      </c>
    </row>
    <row r="8" spans="1:7" ht="20" customHeight="1" x14ac:dyDescent="0.35">
      <c r="A8" s="5" t="s">
        <v>77</v>
      </c>
      <c r="B8" s="30"/>
      <c r="C8" s="5" t="s">
        <v>79</v>
      </c>
      <c r="D8" s="5" t="s">
        <v>155</v>
      </c>
      <c r="E8" s="5" t="s">
        <v>41</v>
      </c>
      <c r="F8" s="5" t="s">
        <v>13</v>
      </c>
      <c r="G8" s="5" t="s">
        <v>80</v>
      </c>
    </row>
    <row r="9" spans="1:7" ht="20" customHeight="1" x14ac:dyDescent="0.35">
      <c r="A9" s="5" t="s">
        <v>67</v>
      </c>
      <c r="B9" s="31"/>
      <c r="C9" s="5" t="s">
        <v>118</v>
      </c>
      <c r="D9" s="5" t="s">
        <v>156</v>
      </c>
      <c r="F9" s="5" t="s">
        <v>157</v>
      </c>
      <c r="G9" s="5" t="s">
        <v>89</v>
      </c>
    </row>
    <row r="10" spans="1:7" ht="20" customHeight="1" x14ac:dyDescent="0.35">
      <c r="A10" s="5" t="s">
        <v>75</v>
      </c>
      <c r="B10" s="32"/>
      <c r="C10" s="5" t="s">
        <v>129</v>
      </c>
      <c r="D10" s="5" t="s">
        <v>158</v>
      </c>
      <c r="F10" s="5" t="s">
        <v>159</v>
      </c>
      <c r="G10" s="5" t="s">
        <v>98</v>
      </c>
    </row>
    <row r="11" spans="1:7" ht="20" customHeight="1" x14ac:dyDescent="0.35">
      <c r="A11" s="5" t="s">
        <v>91</v>
      </c>
      <c r="B11" s="33"/>
      <c r="C11" s="5" t="s">
        <v>95</v>
      </c>
      <c r="D11" s="5" t="s">
        <v>160</v>
      </c>
      <c r="F11" s="5" t="s">
        <v>161</v>
      </c>
      <c r="G11" s="5" t="s">
        <v>101</v>
      </c>
    </row>
    <row r="12" spans="1:7" ht="20" customHeight="1" x14ac:dyDescent="0.35">
      <c r="A12" s="5" t="s">
        <v>85</v>
      </c>
      <c r="B12" s="34"/>
      <c r="C12" s="5" t="s">
        <v>93</v>
      </c>
      <c r="D12" s="5" t="s">
        <v>162</v>
      </c>
      <c r="F12" s="5" t="s">
        <v>163</v>
      </c>
    </row>
    <row r="13" spans="1:7" ht="20" customHeight="1" x14ac:dyDescent="0.35">
      <c r="A13" s="5" t="s">
        <v>69</v>
      </c>
      <c r="B13" s="35"/>
      <c r="C13" s="5" t="s">
        <v>87</v>
      </c>
      <c r="D13" s="5" t="s">
        <v>109</v>
      </c>
    </row>
    <row r="14" spans="1:7" ht="20" customHeight="1" x14ac:dyDescent="0.35">
      <c r="A14" s="5" t="s">
        <v>96</v>
      </c>
      <c r="B14" s="36"/>
      <c r="C14" s="5" t="s">
        <v>69</v>
      </c>
      <c r="D14" s="5" t="s">
        <v>164</v>
      </c>
    </row>
    <row r="15" spans="1:7" ht="20" customHeight="1" x14ac:dyDescent="0.35">
      <c r="C15" s="5" t="s">
        <v>165</v>
      </c>
    </row>
    <row r="16" spans="1:7" ht="20" customHeight="1" x14ac:dyDescent="0.35">
      <c r="C16" s="5" t="s">
        <v>166</v>
      </c>
    </row>
    <row r="18" spans="1:1" x14ac:dyDescent="0.35">
      <c r="A18" s="37" t="s">
        <v>167</v>
      </c>
    </row>
  </sheetData>
  <mergeCells count="1">
    <mergeCell ref="A1:G1"/>
  </mergeCells>
  <printOptions horizontalCentered="1"/>
  <pageMargins left="0.4" right="0.4" top="0.45" bottom="0.55000000000000004" header="0.5" footer="0.5"/>
  <pageSetup paperSize="9" scale="95" fitToHeight="0" orientation="landscape" r:id="rId1"/>
  <headerFooter scaleWithDoc="0">
    <oddFooter>&amp;C&amp;9 &amp;K98A2B3Mẫu của A.M Agency – amagency.vn&amp;R&amp;9 &amp;K98A2B3Trang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0. Bắt đầu</vt:lpstr>
      <vt:lpstr>1. Lịch theo tuần</vt:lpstr>
      <vt:lpstr>2. Run sheet</vt:lpstr>
      <vt:lpstr>Danh mục</vt:lpstr>
      <vt:lpstr>DA_THAY</vt:lpstr>
      <vt:lpstr>DS_KHOI</vt:lpstr>
      <vt:lpstr>DS_LOAI</vt:lpstr>
      <vt:lpstr>DS_NGUOI</vt:lpstr>
      <vt:lpstr>DS_NHOM</vt:lpstr>
      <vt:lpstr>DS_TT</vt:lpstr>
      <vt:lpstr>DS_TUAN</vt:lpstr>
      <vt:lpstr>GIO_BAT_DAU</vt:lpstr>
      <vt:lpstr>GIO_TRA_SANH</vt:lpstr>
      <vt:lpstr>NGAY_SU_KIEN</vt:lpstr>
      <vt:lpstr>NGAY_XEM</vt:lpstr>
      <vt:lpstr>'0. Bắt đầu'!Print_Area</vt:lpstr>
      <vt:lpstr>'Danh mục'!Print_Area</vt:lpstr>
      <vt:lpstr>'1. Lịch theo tuần'!Print_Titles</vt:lpstr>
      <vt:lpstr>'2. Run sheet'!Print_Titles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Lâm Quốc Hoàng</cp:lastModifiedBy>
  <dcterms:created xsi:type="dcterms:W3CDTF">2026-11-08T00:35:33Z</dcterms:created>
  <dcterms:modified xsi:type="dcterms:W3CDTF">2026-11-08T00:36:50Z</dcterms:modified>
</cp:coreProperties>
</file>