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Dev\AM-ORBIT\frontend\public\assets\downloads\"/>
    </mc:Choice>
  </mc:AlternateContent>
  <xr:revisionPtr revIDLastSave="0" documentId="13_ncr:1_{98F98266-85B4-437D-98CB-2F788EDB6670}" xr6:coauthVersionLast="47" xr6:coauthVersionMax="47" xr10:uidLastSave="{00000000-0000-0000-0000-000000000000}"/>
  <bookViews>
    <workbookView xWindow="0" yWindow="0" windowWidth="24000" windowHeight="13680" xr2:uid="{00000000-000D-0000-FFFF-FFFF00000000}"/>
  </bookViews>
  <sheets>
    <sheet name="0. Bắt đầu" sheetId="1" r:id="rId1"/>
    <sheet name="1. Lịch &amp; ngân sách" sheetId="2" r:id="rId2"/>
    <sheet name="2. KPI &amp; báo cáo" sheetId="3" r:id="rId3"/>
    <sheet name="Danh mục" sheetId="4" r:id="rId4"/>
  </sheets>
  <definedNames>
    <definedName name="NAM">'0. Bắt đầu'!$C$17</definedName>
    <definedName name="NGAY_XEM">'0. Bắt đầu'!$F$24</definedName>
    <definedName name="NHAN">'0. Bắt đầu'!$C$16</definedName>
    <definedName name="NS_TONG">'0. Bắt đầu'!$C$18</definedName>
    <definedName name="_xlnm.Print_Area" localSheetId="0">'0. Bắt đầu'!$B$6:$F$50</definedName>
    <definedName name="_xlnm.Print_Area" localSheetId="1">'1. Lịch &amp; ngân sách'!$A$4:$Y$26</definedName>
    <definedName name="_xlnm.Print_Area" localSheetId="2">'2. KPI &amp; báo cáo'!$A$5:$Q$45</definedName>
    <definedName name="_xlnm.Print_Area" localSheetId="3">'Danh mục'!$A$1:$I$30</definedName>
    <definedName name="THANG_BC">'0. Bắt đầu'!$C$19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5" i="3" l="1"/>
  <c r="A24" i="3"/>
  <c r="A23" i="3"/>
  <c r="A22" i="3"/>
  <c r="A21" i="3"/>
  <c r="O17" i="3"/>
  <c r="N17" i="3"/>
  <c r="M17" i="3"/>
  <c r="L17" i="3"/>
  <c r="K17" i="3"/>
  <c r="J17" i="3"/>
  <c r="I17" i="3"/>
  <c r="H17" i="3"/>
  <c r="G17" i="3"/>
  <c r="F17" i="3"/>
  <c r="P17" i="3" s="1"/>
  <c r="B24" i="3" s="1"/>
  <c r="E17" i="3"/>
  <c r="D17" i="3"/>
  <c r="O14" i="3"/>
  <c r="N14" i="3"/>
  <c r="M14" i="3"/>
  <c r="L14" i="3"/>
  <c r="K14" i="3"/>
  <c r="J14" i="3"/>
  <c r="I14" i="3"/>
  <c r="H14" i="3"/>
  <c r="G14" i="3"/>
  <c r="F14" i="3"/>
  <c r="P14" i="3" s="1"/>
  <c r="E14" i="3"/>
  <c r="D14" i="3"/>
  <c r="O11" i="3"/>
  <c r="N11" i="3"/>
  <c r="M11" i="3"/>
  <c r="L11" i="3"/>
  <c r="K11" i="3"/>
  <c r="J11" i="3"/>
  <c r="I11" i="3"/>
  <c r="H11" i="3"/>
  <c r="G11" i="3"/>
  <c r="F11" i="3"/>
  <c r="P11" i="3" s="1"/>
  <c r="Q11" i="3" s="1"/>
  <c r="C22" i="3" s="1"/>
  <c r="E11" i="3"/>
  <c r="D11" i="3"/>
  <c r="O8" i="3"/>
  <c r="N8" i="3"/>
  <c r="M8" i="3"/>
  <c r="L8" i="3"/>
  <c r="K8" i="3"/>
  <c r="J8" i="3"/>
  <c r="I8" i="3"/>
  <c r="H8" i="3"/>
  <c r="G8" i="3"/>
  <c r="F8" i="3"/>
  <c r="P8" i="3" s="1"/>
  <c r="E8" i="3"/>
  <c r="D8" i="3"/>
  <c r="AO1" i="3"/>
  <c r="T26" i="2"/>
  <c r="S26" i="2"/>
  <c r="R26" i="2"/>
  <c r="Q26" i="2"/>
  <c r="P26" i="2"/>
  <c r="O26" i="2"/>
  <c r="N26" i="2"/>
  <c r="M26" i="2"/>
  <c r="L26" i="2"/>
  <c r="K26" i="2"/>
  <c r="J26" i="2"/>
  <c r="I26" i="2"/>
  <c r="T25" i="2"/>
  <c r="S25" i="2"/>
  <c r="R25" i="2"/>
  <c r="Q25" i="2"/>
  <c r="P25" i="2"/>
  <c r="O25" i="2"/>
  <c r="N25" i="2"/>
  <c r="M25" i="2"/>
  <c r="L25" i="2"/>
  <c r="K25" i="2"/>
  <c r="J25" i="2"/>
  <c r="I25" i="2"/>
  <c r="G21" i="2"/>
  <c r="F21" i="2"/>
  <c r="W20" i="2"/>
  <c r="Y20" i="2" s="1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W19" i="2"/>
  <c r="Y19" i="2" s="1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W18" i="2"/>
  <c r="Y18" i="2" s="1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W17" i="2"/>
  <c r="Y17" i="2" s="1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W16" i="2"/>
  <c r="Y16" i="2" s="1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W15" i="2"/>
  <c r="Y15" i="2" s="1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W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W13" i="2"/>
  <c r="Y13" i="2" s="1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W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W11" i="2"/>
  <c r="Y11" i="2" s="1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W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W9" i="2"/>
  <c r="T9" i="2"/>
  <c r="S9" i="2"/>
  <c r="R9" i="2"/>
  <c r="Q9" i="2"/>
  <c r="P9" i="2"/>
  <c r="O9" i="2"/>
  <c r="N9" i="2"/>
  <c r="M9" i="2"/>
  <c r="L9" i="2"/>
  <c r="K9" i="2"/>
  <c r="J9" i="2"/>
  <c r="I9" i="2"/>
  <c r="H9" i="2"/>
  <c r="W8" i="2"/>
  <c r="Y8" i="2" s="1"/>
  <c r="T8" i="2"/>
  <c r="S8" i="2"/>
  <c r="R8" i="2"/>
  <c r="Q8" i="2"/>
  <c r="P8" i="2"/>
  <c r="O8" i="2"/>
  <c r="N8" i="2"/>
  <c r="M8" i="2"/>
  <c r="L8" i="2"/>
  <c r="K8" i="2"/>
  <c r="J8" i="2"/>
  <c r="I8" i="2"/>
  <c r="H8" i="2"/>
  <c r="W7" i="2"/>
  <c r="Y7" i="2" s="1"/>
  <c r="T7" i="2"/>
  <c r="S7" i="2"/>
  <c r="R7" i="2"/>
  <c r="Q7" i="2"/>
  <c r="P7" i="2"/>
  <c r="O7" i="2"/>
  <c r="N7" i="2"/>
  <c r="M7" i="2"/>
  <c r="L7" i="2"/>
  <c r="K7" i="2"/>
  <c r="J7" i="2"/>
  <c r="I7" i="2"/>
  <c r="H7" i="2"/>
  <c r="W6" i="2"/>
  <c r="Y6" i="2" s="1"/>
  <c r="T6" i="2"/>
  <c r="S6" i="2"/>
  <c r="R6" i="2"/>
  <c r="Q6" i="2"/>
  <c r="P6" i="2"/>
  <c r="O6" i="2"/>
  <c r="N6" i="2"/>
  <c r="M6" i="2"/>
  <c r="L6" i="2"/>
  <c r="K6" i="2"/>
  <c r="J6" i="2"/>
  <c r="I6" i="2"/>
  <c r="H6" i="2"/>
  <c r="AO1" i="2"/>
  <c r="F48" i="1"/>
  <c r="F47" i="1"/>
  <c r="F46" i="1"/>
  <c r="F45" i="1"/>
  <c r="F24" i="1"/>
  <c r="F21" i="1"/>
  <c r="E12" i="1" s="1"/>
  <c r="F20" i="1"/>
  <c r="F16" i="1"/>
  <c r="F19" i="1" s="1"/>
  <c r="B12" i="1"/>
  <c r="F11" i="1"/>
  <c r="B2" i="1"/>
  <c r="AO1" i="1"/>
  <c r="Y9" i="2" l="1"/>
  <c r="F23" i="1" s="1"/>
  <c r="H21" i="2"/>
  <c r="F17" i="1"/>
  <c r="Y10" i="2"/>
  <c r="Y12" i="2"/>
  <c r="F25" i="1"/>
  <c r="F18" i="1"/>
  <c r="Y14" i="2"/>
  <c r="Q14" i="3"/>
  <c r="C23" i="3" s="1"/>
  <c r="B23" i="3"/>
  <c r="B21" i="3"/>
  <c r="Q8" i="3"/>
  <c r="C21" i="3" s="1"/>
  <c r="Q17" i="3"/>
  <c r="C24" i="3" s="1"/>
  <c r="B22" i="3"/>
  <c r="B25" i="3" l="1"/>
  <c r="F22" i="1" s="1"/>
  <c r="F12" i="1" s="1"/>
  <c r="C12" i="1"/>
  <c r="C11" i="1"/>
</calcChain>
</file>

<file path=xl/sharedStrings.xml><?xml version="1.0" encoding="utf-8"?>
<sst xmlns="http://schemas.openxmlformats.org/spreadsheetml/2006/main" count="293" uniqueCount="165">
  <si>
    <t>Bản gọn 4 sheet: lịch và ngân sách theo chương trình, KPI và báo cáo tháng. Cần thêm điểm bán, POSM, ngân sách theo hạng mục: dùng bản đầy đủ.</t>
  </si>
  <si>
    <t>Dữ liệu mẫu: Bánh quy Gió Mới là thương hiệu hư cấu. Mọi số là giả định minh họa; các dòng sampling là số giả định nằm trong khung giá sampling của A.M Agency 2026.</t>
  </si>
  <si>
    <t>3 BƯỚC DÙNG</t>
  </si>
  <si>
    <t>① Ô cam chữ xám là ví dụ: nhập đè thông tin của bạn. Ô vàng là ô trống để nhập, ô trắng tự tính.</t>
  </si>
  <si>
    <t>② Sửa chương trình, tháng chạy, ngân sách ở sheet 1. Lịch &amp; ngân sách. Số tổng và biểu đồ ở đây tự đổi.</t>
  </si>
  <si>
    <t>③ Mỗi tháng nhập thực chi ở sheet 1, số KPI thực tế ở sheet 2, rồi đổi ô Tháng đang báo cáo.</t>
  </si>
  <si>
    <t>Tổng ngân sách đã lập</t>
  </si>
  <si>
    <t>Đã chi thực tế</t>
  </si>
  <si>
    <t>từ sheet 1</t>
  </si>
  <si>
    <t>so với ô Tổng ngân sách</t>
  </si>
  <si>
    <t>cột Thực chi ở sheet 1</t>
  </si>
  <si>
    <t>từ sheet 2</t>
  </si>
  <si>
    <t>THÔNG TIN (nhập một lần)</t>
  </si>
  <si>
    <t>TÓM TẮT TỰ TÍNH</t>
  </si>
  <si>
    <t>Nhãn hàng</t>
  </si>
  <si>
    <t>Bánh quy Gió Mới (thương hiệu hư cấu)</t>
  </si>
  <si>
    <t>Tổng ngân sách đã lập (sheet 1)</t>
  </si>
  <si>
    <t>Năm kế hoạch</t>
  </si>
  <si>
    <t>Chênh so với ngân sách năm</t>
  </si>
  <si>
    <t>Tổng ngân sách trade năm (VND, chưa VAT)</t>
  </si>
  <si>
    <t>Tỷ trọng kênh MT</t>
  </si>
  <si>
    <t>Tháng đang báo cáo</t>
  </si>
  <si>
    <t>Tỷ trọng kênh GT</t>
  </si>
  <si>
    <t>Ngày đối chiếu hạn chốt (để trống = hôm nay)</t>
  </si>
  <si>
    <t>Số chương trình trong năm</t>
  </si>
  <si>
    <t>Đã chi thực tế (sheet 1)</t>
  </si>
  <si>
    <t>KPI đạt mục tiêu tháng báo cáo (sheet 2)</t>
  </si>
  <si>
    <t>Chương trình trễ hạn chốt POSM</t>
  </si>
  <si>
    <t>Ngày dùng để đối chiếu</t>
  </si>
  <si>
    <t>Ô còn ví dụ chưa thay (tô cam)</t>
  </si>
  <si>
    <t>NGÂN SÁCH KẾ HOẠCH THEO THÁNG: MT VÀ GT</t>
  </si>
  <si>
    <t>NGÂN SÁCH THEO LOẠI CHƯƠNG TRÌNH</t>
  </si>
  <si>
    <t>Loại chương trình</t>
  </si>
  <si>
    <t>Ngân sách kế hoạch</t>
  </si>
  <si>
    <t>Trưng bày &amp; POSM</t>
  </si>
  <si>
    <t>Sampling/activation</t>
  </si>
  <si>
    <t>Khuyến mãi người tiêu dùng</t>
  </si>
  <si>
    <t>Thưởng điểm bán</t>
  </si>
  <si>
    <t>THỨ TỰ ĐIỀN (bấm tên sheet để mở)</t>
  </si>
  <si>
    <t>1. Lịch &amp; ngân sách</t>
  </si>
  <si>
    <t>Lịch, ngân sách kế hoạch và thực chi từng chương trình.</t>
  </si>
  <si>
    <t>2. KPI &amp; báo cáo</t>
  </si>
  <si>
    <t>KPI theo tháng, nhận xét và việc tháng sau.</t>
  </si>
  <si>
    <t>Danh mục</t>
  </si>
  <si>
    <t>Danh sách chọn và thuật ngữ.</t>
  </si>
  <si>
    <t>Mẫu của A.M Agency – amagency.vn · Dữ liệu mẫu hư cấu, thay bằng số của bạn.</t>
  </si>
  <si>
    <t>1. LỊCH VÀ NGÂN SÁCH THEO CHƯƠNG TRÌNH</t>
  </si>
  <si>
    <t>Mỗi dòng một chương trình (có sẵn 15 dòng). Ô cam chữ xám là ví dụ, nhập đè; ô vàng trống để nhập. Còn lại, lưới tháng, hạn chốt POSM, cảnh báo và ngân sách theo tháng tự tính.</t>
  </si>
  <si>
    <t>Tết 6/2</t>
  </si>
  <si>
    <t>8/3</t>
  </si>
  <si>
    <t>Trung thu 15/9</t>
  </si>
  <si>
    <t>Chương trình</t>
  </si>
  <si>
    <t>Kênh</t>
  </si>
  <si>
    <t>Loại</t>
  </si>
  <si>
    <t>Từ tháng</t>
  </si>
  <si>
    <t>Đến tháng</t>
  </si>
  <si>
    <t>Thực chi</t>
  </si>
  <si>
    <t>Còn lại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</si>
  <si>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</si>
  <si>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</si>
  <si>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</si>
  <si>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</si>
  <si>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</si>
  <si>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</si>
  <si>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</si>
  <si>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</si>
  <si>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</si>
  <si>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</si>
  <si>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</si>
  <si>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</si>
  <si>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Ngày lên kệ</t>
  </si>
  <si>
    <t>Số tuần chuẩn bị POSM</t>
  </si>
  <si>
    <t>Hạn chốt POSM</t>
  </si>
  <si>
    <t>Trạng thái</t>
  </si>
  <si>
    <t>Cảnh báo</t>
  </si>
  <si>
    <t>Tết · Trưng bày chuỗi MT</t>
  </si>
  <si>
    <t>MT</t>
  </si>
  <si>
    <t>Đã xong</t>
  </si>
  <si>
    <t>Tết · Thưởng tạp hóa GT</t>
  </si>
  <si>
    <t>GT</t>
  </si>
  <si>
    <t>8/3 · Sampling cuối tuần</t>
  </si>
  <si>
    <t>Đang chạy</t>
  </si>
  <si>
    <t>Hè · Khuyến mãi chuỗi MT</t>
  </si>
  <si>
    <t>Đang chuẩn bị</t>
  </si>
  <si>
    <t>Hè · Trưng bày đại lý GT</t>
  </si>
  <si>
    <t>Chưa chốt</t>
  </si>
  <si>
    <t>Trung thu · Sampling &amp; POSM</t>
  </si>
  <si>
    <t>Trung thu · Thưởng tạp hóa</t>
  </si>
  <si>
    <t>Cuối năm · Trưng bày chuỗi</t>
  </si>
  <si>
    <t>Cuối năm · Tạp hóa đón Tết</t>
  </si>
  <si>
    <t>TỔNG</t>
  </si>
  <si>
    <t>NGÂN SÁCH THEO THÁNG (chia đều cho các tháng chương trình chạy, đơn vị triệu đồng)</t>
  </si>
  <si>
    <t>Tháng</t>
  </si>
  <si>
    <t>Kế hoạch MT</t>
  </si>
  <si>
    <t>Kế hoạch GT</t>
  </si>
  <si>
    <t>2. KPI VÀ BÁO CÁO THÁNG</t>
  </si>
  <si>
    <t>Mỗi KPI 3 dòng: Mục tiêu, Thực tế (nhập), % đạt (tự tính). Xanh từ 100%, vàng 80-99%, đỏ dưới 80%. Phía dưới: nhận xét tháng và việc tháng sau.</t>
  </si>
  <si>
    <t>KPI</t>
  </si>
  <si>
    <t>Đơn vị</t>
  </si>
  <si>
    <t>Dòng</t>
  </si>
  <si>
    <t>% đạt tháng báo cáo</t>
  </si>
  <si>
    <t>Độ phủ kênh MT</t>
  </si>
  <si>
    <t>%</t>
  </si>
  <si>
    <t>Mục tiêu</t>
  </si>
  <si>
    <t>Thực tế</t>
  </si>
  <si>
    <t>% đạt</t>
  </si>
  <si>
    <t>Điểm đạt chuẩn trưng bày</t>
  </si>
  <si>
    <t>Số buổi sampling</t>
  </si>
  <si>
    <t>buổi</t>
  </si>
  <si>
    <t>Sell-out</t>
  </si>
  <si>
    <t>thùng</t>
  </si>
  <si>
    <t>KPI THÁNG ĐANG BÁO CÁO</t>
  </si>
  <si>
    <t>Số KPI đạt mục tiêu</t>
  </si>
  <si>
    <t>Sampling 8/3 chạy 14/16 buổi ở chuỗi A và tiện lợi C; khách đông 16h-19h cuối tuần. Điểm đạt chuẩn trưng bày tụt sau Tết vì nhiều điểm đã gỡ kệ Tết mà chưa bày lại. Sell-out tháng 3 vượt mục tiêu.</t>
  </si>
  <si>
    <t>VIỆC THÁNG SAU</t>
  </si>
  <si>
    <t>Chốt POSM chương trình hè đại lý cấp 2 (đã trễ hạn chốt)</t>
  </si>
  <si>
    <t>Trade GT</t>
  </si>
  <si>
    <t>Duyệt thiết kế POSM khuyến mãi hè kênh MT</t>
  </si>
  <si>
    <t>Trade MT</t>
  </si>
  <si>
    <t>Bổ sung ảnh nghiệm thu 3 điểm còn thiếu</t>
  </si>
  <si>
    <t>Dời giờ sampling chuỗi C sang khung 11h-13h</t>
  </si>
  <si>
    <t>DANH MỤC</t>
  </si>
  <si>
    <t>Các danh sách chọn dùng ở mọi sheet. Thêm dòng ở cuối cột nếu cần giá trị mới (sửa vùng danh sách chọn tương ứng).</t>
  </si>
  <si>
    <t>Hạng mục ngân sách</t>
  </si>
  <si>
    <t>Đề xuất</t>
  </si>
  <si>
    <t>Có / Chưa</t>
  </si>
  <si>
    <t>Vai trò kênh</t>
  </si>
  <si>
    <t>Chiều KPI</t>
  </si>
  <si>
    <t>Phí trưng bày của chuỗi</t>
  </si>
  <si>
    <t>Giữ</t>
  </si>
  <si>
    <t>Có</t>
  </si>
  <si>
    <t>Xây hình ảnh</t>
  </si>
  <si>
    <t>Cao hơn tốt</t>
  </si>
  <si>
    <t>POSM</t>
  </si>
  <si>
    <t>Điều chỉnh</t>
  </si>
  <si>
    <t>Chưa</t>
  </si>
  <si>
    <t>Kéo doanh số</t>
  </si>
  <si>
    <t>Thấp hơn tốt</t>
  </si>
  <si>
    <t>Nhân sự PG và sampling</t>
  </si>
  <si>
    <t>Đã chốt</t>
  </si>
  <si>
    <t>Dừng</t>
  </si>
  <si>
    <t>Mở rộng độ phủ</t>
  </si>
  <si>
    <t>Quà hoặc khuyến mãi cho người tiêu dùng</t>
  </si>
  <si>
    <t>Giữ điểm bán</t>
  </si>
  <si>
    <t>Thưởng điểm bán GT</t>
  </si>
  <si>
    <t>Vận chuyển và lắp đặt</t>
  </si>
  <si>
    <t>Phí agency</t>
  </si>
  <si>
    <t>THUẬT NGỮ</t>
  </si>
  <si>
    <t>MT (Modern Trade)</t>
  </si>
  <si>
    <t>Kênh bán lẻ hiện đại: chuỗi siêu thị, cửa hàng tiện lợi.</t>
  </si>
  <si>
    <t>GT (General Trade)</t>
  </si>
  <si>
    <t>Kênh truyền thống: tạp hóa, đại lý, sạp chợ.</t>
  </si>
  <si>
    <t>Độ phủ</t>
  </si>
  <si>
    <t>Số điểm có hàng chia cho tổng số điểm trong vùng.</t>
  </si>
  <si>
    <t>Sell-in</t>
  </si>
  <si>
    <t>Hàng nhãn bán vào nhà phân phối hoặc chuỗi.</t>
  </si>
  <si>
    <t>Hàng điểm bán bán ra cho người mua.</t>
  </si>
  <si>
    <t>Vật phẩm tại điểm bán: wobbler, shelf talker, standee, kệ, poster.</t>
  </si>
  <si>
    <t>Planogram</t>
  </si>
  <si>
    <t>Sơ đồ xếp hàng trên kệ theo vị trí và số mặt hàng.</t>
  </si>
  <si>
    <t>Ngày phải chốt thiết kế và số lượng POSM, tính lùi từ ngày lên kệ.</t>
  </si>
  <si>
    <t>Sampling</t>
  </si>
  <si>
    <t>Cho người mua dùng thử sản phẩm tại điểm bán.</t>
  </si>
  <si>
    <t>(*) Số trong khung giá sampling của A.M Agency 2026, chưa VAT, chỉ để tham khảo; báo giá thật theo phạm vi từng chương trình.</t>
  </si>
  <si>
    <t>Bạn cần người triển khai tại điểm bán?
A.M Agency · amagency.vn · Hotline/Zalo: 0922 891 212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</si>
</sst>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"/>
    <numFmt numFmtId="165" formatCode="dd/mm/yyyy"/>
    <numFmt numFmtId="166" formatCode="#,##0,,"/>
    <numFmt numFmtId="167" formatCode="#,##0.0,,&quot; triệu&quot;"/>
  </numFmts>
  <fonts count="21" x14ac:knownFonts="1">
    <font>
      <sz val="11"/>
      <color theme="1"/>
      <name val="Calibri"/>
      <family val="2"/>
      <scheme val="minor"/>
    </font>
    <font>
      <b/>
      <sz val="16"/>
      <color rgb="FF0C2C5C"/>
      <name val="Arial"/>
    </font>
    <font>
      <sz val="10"/>
      <color rgb="FF6B7280"/>
      <name val="Arial"/>
    </font>
    <font>
      <b/>
      <sz val="10"/>
      <color rgb="FFFFFFFF"/>
      <name val="Arial"/>
    </font>
    <font>
      <sz val="10"/>
      <name val="Arial"/>
    </font>
    <font>
      <b/>
      <sz val="11"/>
      <color rgb="FF0C2C5C"/>
      <name val="Arial"/>
    </font>
    <font>
      <b/>
      <sz val="10"/>
      <name val="Arial"/>
    </font>
    <font>
      <i/>
      <sz val="9"/>
      <color rgb="FF6B7280"/>
      <name val="Arial"/>
    </font>
    <font>
      <i/>
      <sz val="9"/>
      <color rgb="FF9AA3B2"/>
      <name val="Arial"/>
    </font>
    <font>
      <b/>
      <sz val="8"/>
      <color rgb="FFB4501A"/>
      <name val="Arial"/>
    </font>
    <font>
      <sz val="9"/>
      <name val="Arial"/>
    </font>
    <font>
      <b/>
      <sz val="11"/>
      <name val="Arial"/>
    </font>
    <font>
      <b/>
      <sz val="9"/>
      <color rgb="FFFFFFFF"/>
      <name val="Arial"/>
    </font>
    <font>
      <b/>
      <sz val="9"/>
      <name val="Arial"/>
    </font>
    <font>
      <sz val="8"/>
      <name val="Arial"/>
    </font>
    <font>
      <b/>
      <sz val="20"/>
      <color rgb="FF0C2C5C"/>
      <name val="Arial"/>
    </font>
    <font>
      <sz val="9"/>
      <color rgb="FF6B7280"/>
      <name val="Arial"/>
    </font>
    <font>
      <sz val="11"/>
      <name val="Arial"/>
    </font>
    <font>
      <b/>
      <sz val="22"/>
      <color rgb="FF0C2C5C"/>
      <name val="Arial"/>
    </font>
    <font>
      <b/>
      <sz val="10"/>
      <color rgb="FF0C2C5C"/>
      <name val="Arial"/>
    </font>
    <font>
      <b/>
      <u/>
      <sz val="11"/>
      <color rgb="FF2F6DB5"/>
      <name val="Arial"/>
    </font>
  </fonts>
  <fills count="6">
    <fill>
      <patternFill patternType="none"/>
    </fill>
    <fill>
      <patternFill patternType="gray125"/>
    </fill>
    <fill>
      <patternFill patternType="solid">
        <fgColor rgb="FF0C2C5C"/>
        <bgColor rgb="FF0C2C5C"/>
      </patternFill>
    </fill>
    <fill>
      <patternFill patternType="solid">
        <fgColor rgb="FFE6ECF5"/>
        <bgColor rgb="FFE6ECF5"/>
      </patternFill>
    </fill>
    <fill>
      <patternFill patternType="solid">
        <fgColor rgb="FFFFF4CC"/>
        <bgColor rgb="FFFFF4CC"/>
      </patternFill>
    </fill>
    <fill>
      <patternFill patternType="solid">
        <fgColor rgb="FFF7F9FC"/>
        <bgColor rgb="FFF7F9FC"/>
      </patternFill>
    </fill>
  </fills>
  <borders count="11">
    <border>
      <left/>
      <right/>
      <top/>
      <bottom/>
      <diagonal/>
    </border>
    <border>
      <left style="thin">
        <color rgb="FFD5DBE5"/>
      </left>
      <right style="thin">
        <color rgb="FFD5DBE5"/>
      </right>
      <top style="thin">
        <color rgb="FFD5DBE5"/>
      </top>
      <bottom style="thin">
        <color rgb="FFD5DBE5"/>
      </bottom>
      <diagonal/>
    </border>
    <border>
      <left style="thin">
        <color rgb="FFD5DBE5"/>
      </left>
      <right style="thin">
        <color rgb="FFD5DBE5"/>
      </right>
      <top/>
      <bottom/>
      <diagonal/>
    </border>
    <border>
      <left style="thin">
        <color rgb="FFD5DBE5"/>
      </left>
      <right style="thin">
        <color rgb="FFD5DBE5"/>
      </right>
      <top/>
      <bottom style="thin">
        <color rgb="FFD5DBE5"/>
      </bottom>
      <diagonal/>
    </border>
    <border>
      <left/>
      <right/>
      <top style="thin">
        <color rgb="FFD5DBE5"/>
      </top>
      <bottom/>
      <diagonal/>
    </border>
    <border>
      <left/>
      <right style="thin">
        <color rgb="FFD5DBE5"/>
      </right>
      <top style="thin">
        <color rgb="FFD5DBE5"/>
      </top>
      <bottom/>
      <diagonal/>
    </border>
    <border>
      <left style="thin">
        <color rgb="FFD5DBE5"/>
      </left>
      <right/>
      <top/>
      <bottom style="thin">
        <color rgb="FFD5DBE5"/>
      </bottom>
      <diagonal/>
    </border>
    <border>
      <left/>
      <right/>
      <top/>
      <bottom style="thin">
        <color rgb="FFD5DBE5"/>
      </bottom>
      <diagonal/>
    </border>
    <border>
      <left/>
      <right style="thin">
        <color rgb="FFD5DBE5"/>
      </right>
      <top/>
      <bottom style="thin">
        <color rgb="FFD5DBE5"/>
      </bottom>
      <diagonal/>
    </border>
    <border>
      <left/>
      <right/>
      <top style="thin">
        <color rgb="FFD5DBE5"/>
      </top>
      <bottom style="thin">
        <color rgb="FFD5DBE5"/>
      </bottom>
      <diagonal/>
    </border>
    <border>
      <left/>
      <right style="thin">
        <color rgb="FFD5DBE5"/>
      </right>
      <top style="thin">
        <color rgb="FFD5DBE5"/>
      </top>
      <bottom style="thin">
        <color rgb="FFD5DBE5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5" borderId="1" xfId="0" applyFont="1" applyFill="1" applyBorder="1" applyAlignment="1">
      <alignment vertical="center"/>
    </xf>
    <xf numFmtId="167" fontId="18" fillId="5" borderId="1" xfId="0" applyNumberFormat="1" applyFont="1" applyFill="1" applyBorder="1" applyAlignment="1">
      <alignment horizontal="left" vertical="center"/>
    </xf>
    <xf numFmtId="0" fontId="18" fillId="5" borderId="1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4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vertical="center"/>
    </xf>
    <xf numFmtId="3" fontId="19" fillId="0" borderId="1" xfId="0" applyNumberFormat="1" applyFont="1" applyBorder="1" applyAlignment="1">
      <alignment horizontal="left" vertical="center"/>
    </xf>
    <xf numFmtId="1" fontId="4" fillId="4" borderId="1" xfId="0" applyNumberFormat="1" applyFont="1" applyFill="1" applyBorder="1" applyAlignment="1" applyProtection="1">
      <alignment horizontal="left" vertical="center"/>
      <protection locked="0"/>
    </xf>
    <xf numFmtId="3" fontId="4" fillId="4" borderId="1" xfId="0" applyNumberFormat="1" applyFont="1" applyFill="1" applyBorder="1" applyAlignment="1" applyProtection="1">
      <alignment horizontal="left" vertical="center"/>
      <protection locked="0"/>
    </xf>
    <xf numFmtId="9" fontId="19" fillId="0" borderId="1" xfId="0" applyNumberFormat="1" applyFont="1" applyBorder="1" applyAlignment="1">
      <alignment horizontal="left" vertical="center"/>
    </xf>
    <xf numFmtId="165" fontId="4" fillId="4" borderId="1" xfId="0" applyNumberFormat="1" applyFont="1" applyFill="1" applyBorder="1" applyAlignment="1" applyProtection="1">
      <alignment horizontal="left" vertical="center"/>
      <protection locked="0"/>
    </xf>
    <xf numFmtId="1" fontId="19" fillId="0" borderId="1" xfId="0" applyNumberFormat="1" applyFont="1" applyBorder="1" applyAlignment="1">
      <alignment horizontal="left" vertical="center"/>
    </xf>
    <xf numFmtId="164" fontId="0" fillId="0" borderId="0" xfId="0" applyNumberFormat="1"/>
    <xf numFmtId="0" fontId="19" fillId="0" borderId="1" xfId="0" applyFont="1" applyBorder="1" applyAlignment="1">
      <alignment horizontal="left" vertical="center"/>
    </xf>
    <xf numFmtId="165" fontId="19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3" fontId="4" fillId="0" borderId="1" xfId="0" applyNumberFormat="1" applyFont="1" applyBorder="1" applyAlignment="1">
      <alignment vertical="center"/>
    </xf>
    <xf numFmtId="0" fontId="2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3" fontId="4" fillId="4" borderId="1" xfId="0" applyNumberFormat="1" applyFont="1" applyFill="1" applyBorder="1" applyAlignment="1" applyProtection="1">
      <alignment vertical="center"/>
      <protection locked="0"/>
    </xf>
    <xf numFmtId="0" fontId="10" fillId="0" borderId="1" xfId="0" applyFont="1" applyBorder="1" applyAlignment="1">
      <alignment horizontal="center" vertical="center"/>
    </xf>
    <xf numFmtId="165" fontId="4" fillId="4" borderId="1" xfId="0" applyNumberFormat="1" applyFont="1" applyFill="1" applyBorder="1" applyAlignment="1" applyProtection="1">
      <alignment horizontal="center" vertical="center"/>
      <protection locked="0"/>
    </xf>
    <xf numFmtId="165" fontId="4" fillId="0" borderId="1" xfId="0" applyNumberFormat="1" applyFont="1" applyBorder="1" applyAlignment="1">
      <alignment horizontal="center" vertical="center"/>
    </xf>
    <xf numFmtId="0" fontId="11" fillId="3" borderId="0" xfId="0" applyFont="1" applyFill="1" applyAlignment="1">
      <alignment vertical="center"/>
    </xf>
    <xf numFmtId="3" fontId="11" fillId="3" borderId="1" xfId="0" applyNumberFormat="1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16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9" fontId="4" fillId="4" borderId="1" xfId="0" applyNumberFormat="1" applyFont="1" applyFill="1" applyBorder="1" applyAlignment="1" applyProtection="1">
      <alignment vertical="center"/>
      <protection locked="0"/>
    </xf>
    <xf numFmtId="9" fontId="6" fillId="0" borderId="1" xfId="0" applyNumberFormat="1" applyFont="1" applyBorder="1" applyAlignment="1">
      <alignment vertical="center"/>
    </xf>
    <xf numFmtId="9" fontId="1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/>
    <xf numFmtId="0" fontId="17" fillId="0" borderId="0" xfId="0" applyFont="1" applyAlignment="1">
      <alignment vertical="center" wrapText="1"/>
    </xf>
    <xf numFmtId="0" fontId="5" fillId="3" borderId="0" xfId="0" applyFont="1" applyFill="1" applyAlignment="1">
      <alignment vertical="center"/>
    </xf>
    <xf numFmtId="0" fontId="7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0" fillId="0" borderId="2" xfId="0" applyBorder="1"/>
    <xf numFmtId="0" fontId="0" fillId="0" borderId="3" xfId="0" applyBorder="1"/>
    <xf numFmtId="165" fontId="4" fillId="4" borderId="1" xfId="0" applyNumberFormat="1" applyFont="1" applyFill="1" applyBorder="1" applyAlignment="1" applyProtection="1">
      <alignment vertical="center"/>
      <protection locked="0"/>
    </xf>
    <xf numFmtId="0" fontId="0" fillId="0" borderId="10" xfId="0" applyBorder="1" applyProtection="1">
      <protection locked="0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 applyProtection="1">
      <alignment vertical="center"/>
      <protection locked="0"/>
    </xf>
    <xf numFmtId="0" fontId="0" fillId="0" borderId="9" xfId="0" applyBorder="1" applyProtection="1"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47">
    <dxf>
      <font>
        <b/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7A5200"/>
      </font>
      <fill>
        <patternFill patternType="solid">
          <fgColor rgb="FFFFEB9C"/>
          <bgColor rgb="FFFFEB9C"/>
        </patternFill>
      </fill>
    </dxf>
    <dxf>
      <font>
        <b/>
        <color rgb="FF006100"/>
      </font>
      <fill>
        <patternFill patternType="solid">
          <fgColor rgb="FFC6EFCE"/>
          <bgColor rgb="FFC6EFCE"/>
        </patternFill>
      </fill>
    </dxf>
    <dxf>
      <font>
        <color rgb="FF8A8F98"/>
      </font>
      <fill>
        <patternFill patternType="solid">
          <fgColor rgb="FFFBE3CF"/>
          <bgColor rgb="FFFBE3CF"/>
        </patternFill>
      </fill>
    </dxf>
    <dxf>
      <font>
        <color rgb="FF8A8F98"/>
      </font>
      <fill>
        <patternFill patternType="solid">
          <fgColor rgb="FFFBE3CF"/>
          <bgColor rgb="FFFBE3CF"/>
        </patternFill>
      </fill>
    </dxf>
    <dxf>
      <font>
        <b/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7A5200"/>
      </font>
      <fill>
        <patternFill patternType="solid">
          <fgColor rgb="FFFFEB9C"/>
          <bgColor rgb="FFFFEB9C"/>
        </patternFill>
      </fill>
    </dxf>
    <dxf>
      <font>
        <b/>
        <color rgb="FF006100"/>
      </font>
      <fill>
        <patternFill patternType="solid">
          <fgColor rgb="FFC6EFCE"/>
          <bgColor rgb="FFC6EFCE"/>
        </patternFill>
      </fill>
    </dxf>
    <dxf>
      <font>
        <b/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7A5200"/>
      </font>
      <fill>
        <patternFill patternType="solid">
          <fgColor rgb="FFFFEB9C"/>
          <bgColor rgb="FFFFEB9C"/>
        </patternFill>
      </fill>
    </dxf>
    <dxf>
      <font>
        <b/>
        <color rgb="FF006100"/>
      </font>
      <fill>
        <patternFill patternType="solid">
          <fgColor rgb="FFC6EFCE"/>
          <bgColor rgb="FFC6EFCE"/>
        </patternFill>
      </fill>
    </dxf>
    <dxf>
      <font>
        <b/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7A5200"/>
      </font>
      <fill>
        <patternFill patternType="solid">
          <fgColor rgb="FFFFEB9C"/>
          <bgColor rgb="FFFFEB9C"/>
        </patternFill>
      </fill>
    </dxf>
    <dxf>
      <font>
        <b/>
        <color rgb="FF006100"/>
      </font>
      <fill>
        <patternFill patternType="solid">
          <fgColor rgb="FFC6EFCE"/>
          <bgColor rgb="FFC6EFCE"/>
        </patternFill>
      </fill>
    </dxf>
    <dxf>
      <font>
        <b/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7A5200"/>
      </font>
      <fill>
        <patternFill patternType="solid">
          <fgColor rgb="FFFFEB9C"/>
          <bgColor rgb="FFFFEB9C"/>
        </patternFill>
      </fill>
    </dxf>
    <dxf>
      <font>
        <b/>
        <color rgb="FF006100"/>
      </font>
      <fill>
        <patternFill patternType="solid">
          <fgColor rgb="FFC6EFCE"/>
          <bgColor rgb="FFC6EFCE"/>
        </patternFill>
      </fill>
    </dxf>
    <dxf>
      <font>
        <color rgb="FF8A8F98"/>
      </font>
      <fill>
        <patternFill patternType="solid">
          <fgColor rgb="FFFBE3CF"/>
          <bgColor rgb="FFFBE3CF"/>
        </patternFill>
      </fill>
    </dxf>
    <dxf>
      <font>
        <color rgb="FF8A8F98"/>
      </font>
      <fill>
        <patternFill patternType="solid">
          <fgColor rgb="FFFBE3CF"/>
          <bgColor rgb="FFFBE3CF"/>
        </patternFill>
      </fill>
    </dxf>
    <dxf>
      <font>
        <color rgb="FF8A8F98"/>
      </font>
      <fill>
        <patternFill patternType="solid">
          <fgColor rgb="FFFBE3CF"/>
          <bgColor rgb="FFFBE3CF"/>
        </patternFill>
      </fill>
    </dxf>
    <dxf>
      <font>
        <color rgb="FF8A8F98"/>
      </font>
      <fill>
        <patternFill patternType="solid">
          <fgColor rgb="FFFBE3CF"/>
          <bgColor rgb="FFFBE3CF"/>
        </patternFill>
      </fill>
    </dxf>
    <dxf>
      <font>
        <b/>
        <color rgb="FFFFFFFF"/>
      </font>
      <fill>
        <patternFill patternType="solid">
          <fgColor rgb="FFF2A93B"/>
          <bgColor rgb="FFF2A93B"/>
        </patternFill>
      </fill>
    </dxf>
    <dxf>
      <font>
        <b/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7A5200"/>
      </font>
      <fill>
        <patternFill patternType="solid">
          <fgColor rgb="FFFFEB9C"/>
          <bgColor rgb="FFFFEB9C"/>
        </patternFill>
      </fill>
    </dxf>
    <dxf>
      <font>
        <b/>
        <color rgb="FF006100"/>
      </font>
      <fill>
        <patternFill patternType="solid">
          <fgColor rgb="FFC6EFCE"/>
          <bgColor rgb="FFC6EFCE"/>
        </patternFill>
      </fill>
    </dxf>
    <dxf>
      <font>
        <color rgb="FF8A8F98"/>
      </font>
      <fill>
        <patternFill patternType="solid">
          <fgColor rgb="FFFBE3CF"/>
          <bgColor rgb="FFFBE3CF"/>
        </patternFill>
      </fill>
    </dxf>
    <dxf>
      <font>
        <color rgb="FF8A8F98"/>
      </font>
      <fill>
        <patternFill patternType="solid">
          <fgColor rgb="FFFBE3CF"/>
          <bgColor rgb="FFFBE3CF"/>
        </patternFill>
      </fill>
    </dxf>
    <dxf>
      <font>
        <b/>
        <color rgb="FF006100"/>
      </font>
      <fill>
        <patternFill patternType="solid">
          <fgColor rgb="FFC6EFCE"/>
          <bgColor rgb="FFC6EFCE"/>
        </patternFill>
      </fill>
    </dxf>
    <dxf>
      <font>
        <b/>
        <color rgb="FF7A5200"/>
      </font>
      <fill>
        <patternFill patternType="solid">
          <fgColor rgb="FFFFEB9C"/>
          <bgColor rgb="FFFFEB9C"/>
        </patternFill>
      </fill>
    </dxf>
    <dxf>
      <font>
        <b/>
        <color rgb="FF9C0006"/>
      </font>
      <fill>
        <patternFill patternType="solid">
          <fgColor rgb="FFFFC7CE"/>
          <bgColor rgb="FFFFC7CE"/>
        </patternFill>
      </fill>
    </dxf>
    <dxf>
      <font>
        <color rgb="FF8A8F98"/>
      </font>
      <fill>
        <patternFill patternType="solid">
          <fgColor rgb="FFFBE3CF"/>
          <bgColor rgb="FFFBE3CF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7A52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8A8F98"/>
      </font>
      <fill>
        <patternFill patternType="solid">
          <fgColor rgb="FFFBE3CF"/>
          <bgColor rgb="FFFBE3CF"/>
        </patternFill>
      </fill>
    </dxf>
    <dxf>
      <font>
        <b/>
        <color rgb="FFFFFFFF"/>
      </font>
      <fill>
        <patternFill patternType="solid">
          <fgColor rgb="FF2A9D74"/>
          <bgColor rgb="FF2A9D74"/>
        </patternFill>
      </fill>
    </dxf>
    <dxf>
      <font>
        <b/>
        <color rgb="FFFFFFFF"/>
      </font>
      <fill>
        <patternFill patternType="solid">
          <fgColor rgb="FF2F6DB5"/>
          <bgColor rgb="FF2F6DB5"/>
        </patternFill>
      </fill>
    </dxf>
    <dxf>
      <font>
        <b/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9C0006"/>
      </font>
      <fill>
        <patternFill patternType="solid">
          <fgColor rgb="FFFFC7CE"/>
          <bgColor rgb="FFFFC7CE"/>
        </patternFill>
      </fill>
    </dxf>
    <dxf>
      <font>
        <color rgb="FF8A8F98"/>
      </font>
      <fill>
        <patternFill patternType="solid">
          <fgColor rgb="FFFBE3CF"/>
          <bgColor rgb="FFFBE3CF"/>
        </patternFill>
      </fill>
    </dxf>
    <dxf>
      <font>
        <b/>
        <color rgb="FFB4501A"/>
      </font>
      <fill>
        <patternFill patternType="solid">
          <fgColor rgb="FFFBE3CF"/>
          <bgColor rgb="FFFBE3CF"/>
        </patternFill>
      </fill>
    </dxf>
    <dxf>
      <font>
        <b/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006100"/>
      </font>
      <fill>
        <patternFill patternType="solid">
          <fgColor rgb="FFC6EFCE"/>
          <bgColor rgb="FFC6EFCE"/>
        </patternFill>
      </fill>
    </dxf>
    <dxf>
      <font>
        <b/>
        <color rgb="FF9C0006"/>
      </font>
      <fill>
        <patternFill patternType="solid">
          <fgColor rgb="FFFFC7CE"/>
          <bgColor rgb="FFFFC7CE"/>
        </patternFill>
      </fill>
    </dxf>
    <dxf>
      <font>
        <color rgb="FF8A8F98"/>
      </font>
      <fill>
        <patternFill patternType="solid">
          <fgColor rgb="FFFBE3CF"/>
          <bgColor rgb="FFFBE3CF"/>
        </patternFill>
      </fill>
    </dxf>
    <dxf>
      <font>
        <b/>
        <color rgb="FF006100"/>
      </font>
    </dxf>
    <dxf>
      <font>
        <b/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barChart>
        <c:barDir val="col"/>
        <c:grouping val="stacked"/>
        <c:varyColors val="1"/>
        <c:ser>
          <c:idx val="0"/>
          <c:order val="0"/>
          <c:tx>
            <c:strRef>
              <c:f>'1. Lịch &amp; ngân sách'!$H$25</c:f>
              <c:strCache>
                <c:ptCount val="1"/>
                <c:pt idx="0">
                  <c:v>Kế hoạch MT</c:v>
                </c:pt>
              </c:strCache>
            </c:strRef>
          </c:tx>
          <c:spPr>
            <a:solidFill>
              <a:srgbClr val="2F6DB5"/>
            </a:solidFill>
            <a:ln>
              <a:solidFill>
                <a:srgbClr val="2F6DB5"/>
              </a:solidFill>
              <a:prstDash val="solid"/>
            </a:ln>
          </c:spPr>
          <c:invertIfNegative val="1"/>
          <c:cat>
            <c:strRef>
              <c:f>'1. Lịch &amp; ngân sách'!$I$24:$T$24</c:f>
              <c:strCache>
                <c:ptCount val="12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  <c:pt idx="4">
                  <c:v>T5</c:v>
                </c:pt>
                <c:pt idx="5">
                  <c:v>T6</c:v>
                </c:pt>
                <c:pt idx="6">
                  <c:v>T7</c:v>
                </c:pt>
                <c:pt idx="7">
                  <c:v>T8</c:v>
                </c:pt>
                <c:pt idx="8">
                  <c:v>T9</c:v>
                </c:pt>
                <c:pt idx="9">
                  <c:v>T10</c:v>
                </c:pt>
                <c:pt idx="10">
                  <c:v>T11</c:v>
                </c:pt>
                <c:pt idx="11">
                  <c:v>T12</c:v>
                </c:pt>
              </c:strCache>
            </c:strRef>
          </c:cat>
          <c:val>
            <c:numRef>
              <c:f>'1. Lịch &amp; ngân sách'!$I$25:$T$25</c:f>
              <c:numCache>
                <c:formatCode>#,##0,,</c:formatCode>
                <c:ptCount val="12"/>
                <c:pt idx="0">
                  <c:v>70000000</c:v>
                </c:pt>
                <c:pt idx="1">
                  <c:v>70000000</c:v>
                </c:pt>
                <c:pt idx="2">
                  <c:v>94100000</c:v>
                </c:pt>
                <c:pt idx="3">
                  <c:v>0</c:v>
                </c:pt>
                <c:pt idx="4">
                  <c:v>73333333.333333328</c:v>
                </c:pt>
                <c:pt idx="5">
                  <c:v>73333333.333333328</c:v>
                </c:pt>
                <c:pt idx="6">
                  <c:v>73333333.333333328</c:v>
                </c:pt>
                <c:pt idx="7">
                  <c:v>112950000</c:v>
                </c:pt>
                <c:pt idx="8">
                  <c:v>112950000</c:v>
                </c:pt>
                <c:pt idx="9">
                  <c:v>0</c:v>
                </c:pt>
                <c:pt idx="10">
                  <c:v>90000000</c:v>
                </c:pt>
                <c:pt idx="11">
                  <c:v>90000000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2F6DB5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862B-4F06-AEA1-2D360DFD348F}"/>
            </c:ext>
          </c:extLst>
        </c:ser>
        <c:ser>
          <c:idx val="1"/>
          <c:order val="1"/>
          <c:tx>
            <c:strRef>
              <c:f>'1. Lịch &amp; ngân sách'!$H$26</c:f>
              <c:strCache>
                <c:ptCount val="1"/>
                <c:pt idx="0">
                  <c:v>Kế hoạch GT</c:v>
                </c:pt>
              </c:strCache>
            </c:strRef>
          </c:tx>
          <c:spPr>
            <a:solidFill>
              <a:srgbClr val="2A9D74"/>
            </a:solidFill>
            <a:ln>
              <a:solidFill>
                <a:srgbClr val="2A9D74"/>
              </a:solidFill>
              <a:prstDash val="solid"/>
            </a:ln>
          </c:spPr>
          <c:invertIfNegative val="1"/>
          <c:cat>
            <c:strRef>
              <c:f>'1. Lịch &amp; ngân sách'!$I$24:$T$24</c:f>
              <c:strCache>
                <c:ptCount val="12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  <c:pt idx="4">
                  <c:v>T5</c:v>
                </c:pt>
                <c:pt idx="5">
                  <c:v>T6</c:v>
                </c:pt>
                <c:pt idx="6">
                  <c:v>T7</c:v>
                </c:pt>
                <c:pt idx="7">
                  <c:v>T8</c:v>
                </c:pt>
                <c:pt idx="8">
                  <c:v>T9</c:v>
                </c:pt>
                <c:pt idx="9">
                  <c:v>T10</c:v>
                </c:pt>
                <c:pt idx="10">
                  <c:v>T11</c:v>
                </c:pt>
                <c:pt idx="11">
                  <c:v>T12</c:v>
                </c:pt>
              </c:strCache>
            </c:strRef>
          </c:cat>
          <c:val>
            <c:numRef>
              <c:f>'1. Lịch &amp; ngân sách'!$I$26:$T$26</c:f>
              <c:numCache>
                <c:formatCode>#,##0,,</c:formatCode>
                <c:ptCount val="12"/>
                <c:pt idx="0">
                  <c:v>55000000</c:v>
                </c:pt>
                <c:pt idx="1">
                  <c:v>55000000</c:v>
                </c:pt>
                <c:pt idx="2">
                  <c:v>0</c:v>
                </c:pt>
                <c:pt idx="3">
                  <c:v>21666666.666666668</c:v>
                </c:pt>
                <c:pt idx="4">
                  <c:v>21666666.666666668</c:v>
                </c:pt>
                <c:pt idx="5">
                  <c:v>21666666.666666668</c:v>
                </c:pt>
                <c:pt idx="6">
                  <c:v>0</c:v>
                </c:pt>
                <c:pt idx="7">
                  <c:v>45000000</c:v>
                </c:pt>
                <c:pt idx="8">
                  <c:v>45000000</c:v>
                </c:pt>
                <c:pt idx="9">
                  <c:v>0</c:v>
                </c:pt>
                <c:pt idx="10">
                  <c:v>0</c:v>
                </c:pt>
                <c:pt idx="11">
                  <c:v>110000000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2A9D74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1-862B-4F06-AEA1-2D360DFD34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10"/>
        <c:axId val="100"/>
      </c:bar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0"/>
        <c:axPos val="l"/>
        <c:majorGridlines>
          <c:spPr>
            <a:ln>
              <a:solidFill>
                <a:srgbClr val="E5E7EB"/>
              </a:solidFill>
              <a:prstDash val="solid"/>
            </a:ln>
          </c:spPr>
        </c:majorGridlines>
        <c:numFmt formatCode="#,##0,,&quot;tr&quot;" sourceLinked="0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doughnutChart>
        <c:varyColors val="1"/>
        <c:ser>
          <c:idx val="0"/>
          <c:order val="0"/>
          <c:tx>
            <c:strRef>
              <c:f>'0. Bắt đầu'!$F$44</c:f>
              <c:strCache>
                <c:ptCount val="1"/>
                <c:pt idx="0">
                  <c:v>Ngân sách kế hoạch</c:v>
                </c:pt>
              </c:strCache>
            </c:strRef>
          </c:tx>
          <c:spPr>
            <a:ln>
              <a:prstDash val="solid"/>
            </a:ln>
          </c:spPr>
          <c:dPt>
            <c:idx val="0"/>
            <c:bubble3D val="0"/>
            <c:spPr>
              <a:solidFill>
                <a:srgbClr val="0C2C5C"/>
              </a:solidFill>
              <a:ln>
                <a:solidFill>
                  <a:srgbClr val="FFFFFF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5711-4C64-86A8-8B6817CD5891}"/>
              </c:ext>
            </c:extLst>
          </c:dPt>
          <c:dPt>
            <c:idx val="1"/>
            <c:bubble3D val="0"/>
            <c:spPr>
              <a:solidFill>
                <a:srgbClr val="2F6DB5"/>
              </a:solidFill>
              <a:ln>
                <a:solidFill>
                  <a:srgbClr val="FFFFFF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5711-4C64-86A8-8B6817CD5891}"/>
              </c:ext>
            </c:extLst>
          </c:dPt>
          <c:dPt>
            <c:idx val="2"/>
            <c:bubble3D val="0"/>
            <c:spPr>
              <a:solidFill>
                <a:srgbClr val="F2A93B"/>
              </a:solidFill>
              <a:ln>
                <a:solidFill>
                  <a:srgbClr val="FFFFFF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5711-4C64-86A8-8B6817CD5891}"/>
              </c:ext>
            </c:extLst>
          </c:dPt>
          <c:dPt>
            <c:idx val="3"/>
            <c:bubble3D val="0"/>
            <c:spPr>
              <a:solidFill>
                <a:srgbClr val="2A9D74"/>
              </a:solidFill>
              <a:ln>
                <a:solidFill>
                  <a:srgbClr val="FFFFFF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5711-4C64-86A8-8B6817CD5891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1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'0. Bắt đầu'!$E$45:$E$48</c:f>
              <c:strCache>
                <c:ptCount val="4"/>
                <c:pt idx="0">
                  <c:v>Trưng bày &amp; POSM</c:v>
                </c:pt>
                <c:pt idx="1">
                  <c:v>Sampling/activation</c:v>
                </c:pt>
                <c:pt idx="2">
                  <c:v>Khuyến mãi người tiêu dùng</c:v>
                </c:pt>
                <c:pt idx="3">
                  <c:v>Thưởng điểm bán</c:v>
                </c:pt>
              </c:strCache>
            </c:strRef>
          </c:cat>
          <c:val>
            <c:numRef>
              <c:f>'0. Bắt đầu'!$F$45:$F$48</c:f>
              <c:numCache>
                <c:formatCode>#,##0</c:formatCode>
                <c:ptCount val="4"/>
                <c:pt idx="0">
                  <c:v>385000000</c:v>
                </c:pt>
                <c:pt idx="1">
                  <c:v>320000000</c:v>
                </c:pt>
                <c:pt idx="2">
                  <c:v>220000000</c:v>
                </c:pt>
                <c:pt idx="3">
                  <c:v>310000000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711-4C64-86A8-8B6817CD5891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1"/>
          <c:showLeaderLines val="0"/>
        </c:dLbls>
        <c:firstSliceAng val="0"/>
        <c:holeSize val="55"/>
      </c:doughnutChart>
    </c:plotArea>
    <c:legend>
      <c:legendPos val="r"/>
      <c:overlay val="0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>
              <a:defRPr/>
            </a:pPr>
            <a:r>
              <a:t>% đạt KPI ở tháng đang báo cáo</a:t>
            </a:r>
          </a:p>
        </c:rich>
      </c:tx>
      <c:overlay val="1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strRef>
              <c:f>'2. KPI &amp; báo cáo'!$B$20</c:f>
              <c:strCache>
                <c:ptCount val="1"/>
                <c:pt idx="0">
                  <c:v>% đạt</c:v>
                </c:pt>
              </c:strCache>
            </c:strRef>
          </c:tx>
          <c:spPr>
            <a:solidFill>
              <a:srgbClr val="0C2C5C"/>
            </a:solidFill>
            <a:ln>
              <a:solidFill>
                <a:srgbClr val="0C2C5C"/>
              </a:solidFill>
              <a:prstDash val="solid"/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1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KPI &amp; báo cáo'!$A$21:$A$24</c:f>
              <c:strCache>
                <c:ptCount val="4"/>
                <c:pt idx="0">
                  <c:v>Độ phủ kênh MT</c:v>
                </c:pt>
                <c:pt idx="1">
                  <c:v>Điểm đạt chuẩn trưng bày</c:v>
                </c:pt>
                <c:pt idx="2">
                  <c:v>Số buổi sampling</c:v>
                </c:pt>
                <c:pt idx="3">
                  <c:v>Sell-out</c:v>
                </c:pt>
              </c:strCache>
            </c:strRef>
          </c:cat>
          <c:val>
            <c:numRef>
              <c:f>'2. KPI &amp; báo cáo'!$B$21:$B$24</c:f>
              <c:numCache>
                <c:formatCode>0%</c:formatCode>
                <c:ptCount val="4"/>
                <c:pt idx="0">
                  <c:v>1.0142857142857142</c:v>
                </c:pt>
                <c:pt idx="1">
                  <c:v>0.77499999999999991</c:v>
                </c:pt>
                <c:pt idx="2">
                  <c:v>0.875</c:v>
                </c:pt>
                <c:pt idx="3">
                  <c:v>1.04375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0C2C5C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8B5-40DC-91FF-563AAC99C748}"/>
            </c:ext>
          </c:extLst>
        </c:ser>
        <c:dLbls>
          <c:showLegendKey val="0"/>
          <c:showVal val="1"/>
          <c:showCatName val="0"/>
          <c:showSerName val="0"/>
          <c:showPercent val="1"/>
          <c:showBubbleSize val="1"/>
        </c:dLbls>
        <c:gapWidth val="150"/>
        <c:axId val="10"/>
        <c:axId val="100"/>
      </c:barChart>
      <c:catAx>
        <c:axId val="1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</c:scaling>
        <c:delete val="0"/>
        <c:axPos val="t"/>
        <c:majorGridlines>
          <c:spPr>
            <a:ln>
              <a:solidFill>
                <a:srgbClr val="E5E7EB"/>
              </a:solidFill>
              <a:prstDash val="solid"/>
            </a:ln>
          </c:spPr>
        </c:majorGridlines>
        <c:numFmt formatCode="0%" sourceLinked="0"/>
        <c:majorTickMark val="none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26</xdr:row>
      <xdr:rowOff>0</xdr:rowOff>
    </xdr:from>
    <xdr:ext cx="4608000" cy="306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4</xdr:col>
      <xdr:colOff>0</xdr:colOff>
      <xdr:row>26</xdr:row>
      <xdr:rowOff>0</xdr:rowOff>
    </xdr:from>
    <xdr:ext cx="4680000" cy="28800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18</xdr:row>
      <xdr:rowOff>0</xdr:rowOff>
    </xdr:from>
    <xdr:ext cx="5400000" cy="234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C2C5C"/>
    <pageSetUpPr fitToPage="1"/>
  </sheetPr>
  <dimension ref="B1:AQ57"/>
  <sheetViews>
    <sheetView showGridLines="0" tabSelected="1" zoomScaleNormal="100" workbookViewId="0"/>
  </sheetViews>
  <sheetFormatPr defaultRowHeight="14.5" x14ac:dyDescent="0.35"/>
  <cols>
    <col min="1" max="1" width="2" customWidth="1"/>
    <col min="2" max="2" width="38" customWidth="1"/>
    <col min="3" max="3" width="30" customWidth="1"/>
    <col min="4" max="4" width="3" customWidth="1"/>
    <col min="5" max="5" width="40" customWidth="1"/>
    <col min="6" max="6" width="34" customWidth="1"/>
    <col min="7" max="7" width="2" customWidth="1"/>
    <col min="41" max="43" width="13" hidden="1" customWidth="1"/>
  </cols>
  <sheetData>
    <row r="1" spans="2:43" x14ac:dyDescent="0.35">
      <c r="AO1">
        <f>SUMPRODUCT((C16:C20&lt;&gt;"")*(AQ16:AQ20&lt;&gt;"")*(C16:C20=AQ16:AQ20))</f>
        <v>5</v>
      </c>
    </row>
    <row r="2" spans="2:43" ht="36" customHeight="1" x14ac:dyDescent="0.35">
      <c r="B2" s="51" t="str">
        <f>"KẾ HOẠCH TRADE MARKETING "&amp;NAM&amp;" · BẢN GỌN"</f>
        <v>KẾ HOẠCH TRADE MARKETING 2027 · BẢN GỌN</v>
      </c>
      <c r="C2" s="47"/>
      <c r="E2" s="52" t="s">
        <v>164</v>
      </c>
      <c r="F2" s="47"/>
    </row>
    <row r="3" spans="2:43" x14ac:dyDescent="0.35">
      <c r="B3" s="46" t="s">
        <v>0</v>
      </c>
      <c r="C3" s="47"/>
      <c r="D3" s="47"/>
      <c r="E3" s="47"/>
      <c r="F3" s="47"/>
    </row>
    <row r="4" spans="2:43" ht="30" customHeight="1" x14ac:dyDescent="0.35">
      <c r="B4" s="50" t="s">
        <v>1</v>
      </c>
      <c r="C4" s="47"/>
      <c r="D4" s="47"/>
      <c r="E4" s="47"/>
      <c r="F4" s="47"/>
    </row>
    <row r="6" spans="2:43" x14ac:dyDescent="0.35">
      <c r="B6" s="49" t="s">
        <v>2</v>
      </c>
      <c r="C6" s="47"/>
      <c r="D6" s="47"/>
      <c r="E6" s="47"/>
      <c r="F6" s="47"/>
    </row>
    <row r="7" spans="2:43" ht="20" customHeight="1" x14ac:dyDescent="0.35">
      <c r="B7" s="48" t="s">
        <v>3</v>
      </c>
      <c r="C7" s="47"/>
      <c r="D7" s="47"/>
      <c r="E7" s="47"/>
      <c r="F7" s="47"/>
    </row>
    <row r="8" spans="2:43" ht="20" customHeight="1" x14ac:dyDescent="0.35">
      <c r="B8" s="48" t="s">
        <v>4</v>
      </c>
      <c r="C8" s="47"/>
      <c r="D8" s="47"/>
      <c r="E8" s="47"/>
      <c r="F8" s="47"/>
    </row>
    <row r="9" spans="2:43" ht="20" customHeight="1" x14ac:dyDescent="0.35">
      <c r="B9" s="48" t="s">
        <v>5</v>
      </c>
      <c r="C9" s="47"/>
      <c r="D9" s="47"/>
      <c r="E9" s="47"/>
      <c r="F9" s="47"/>
    </row>
    <row r="11" spans="2:43" x14ac:dyDescent="0.35">
      <c r="B11" s="1" t="s">
        <v>6</v>
      </c>
      <c r="C11" s="1" t="str">
        <f>IF(F17&lt;0,"Vượt ngân sách năm","Còn so với ngân sách năm")</f>
        <v>Còn so với ngân sách năm</v>
      </c>
      <c r="E11" s="1" t="s">
        <v>7</v>
      </c>
      <c r="F11" s="1" t="str">
        <f>"KPI đạt mục tiêu tháng "&amp;THANG_BC</f>
        <v>KPI đạt mục tiêu tháng 3</v>
      </c>
    </row>
    <row r="12" spans="2:43" ht="38" customHeight="1" x14ac:dyDescent="0.35">
      <c r="B12" s="2">
        <f>F16</f>
        <v>1235000000</v>
      </c>
      <c r="C12" s="2">
        <f>IF(F17="","",ABS(F17))</f>
        <v>15000000</v>
      </c>
      <c r="E12" s="2">
        <f>F21</f>
        <v>335000000</v>
      </c>
      <c r="F12" s="3" t="str">
        <f>F22</f>
        <v>2/4</v>
      </c>
    </row>
    <row r="13" spans="2:43" x14ac:dyDescent="0.35">
      <c r="B13" s="4" t="s">
        <v>8</v>
      </c>
      <c r="C13" s="4" t="s">
        <v>9</v>
      </c>
      <c r="E13" s="4" t="s">
        <v>10</v>
      </c>
      <c r="F13" s="4" t="s">
        <v>11</v>
      </c>
    </row>
    <row r="15" spans="2:43" x14ac:dyDescent="0.35">
      <c r="B15" s="49" t="s">
        <v>12</v>
      </c>
      <c r="C15" s="47"/>
      <c r="E15" s="49" t="s">
        <v>13</v>
      </c>
      <c r="F15" s="47"/>
    </row>
    <row r="16" spans="2:43" x14ac:dyDescent="0.35">
      <c r="B16" s="5" t="s">
        <v>14</v>
      </c>
      <c r="C16" s="6" t="s">
        <v>15</v>
      </c>
      <c r="E16" s="7" t="s">
        <v>16</v>
      </c>
      <c r="F16" s="8">
        <f>'1. Lịch &amp; ngân sách'!$F$21</f>
        <v>1235000000</v>
      </c>
      <c r="AQ16" t="s">
        <v>15</v>
      </c>
    </row>
    <row r="17" spans="2:43" x14ac:dyDescent="0.35">
      <c r="B17" s="5" t="s">
        <v>17</v>
      </c>
      <c r="C17" s="9">
        <v>2027</v>
      </c>
      <c r="E17" s="7" t="s">
        <v>18</v>
      </c>
      <c r="F17" s="8">
        <f>IF(NS_TONG="","",NS_TONG-F16)</f>
        <v>15000000</v>
      </c>
      <c r="AQ17">
        <v>2027</v>
      </c>
    </row>
    <row r="18" spans="2:43" x14ac:dyDescent="0.35">
      <c r="B18" s="5" t="s">
        <v>19</v>
      </c>
      <c r="C18" s="10">
        <v>1250000000</v>
      </c>
      <c r="E18" s="7" t="s">
        <v>20</v>
      </c>
      <c r="F18" s="11">
        <f>IF(F16=0,"",SUMIFS('1. Lịch &amp; ngân sách'!$F$6:$F$20,'1. Lịch &amp; ngân sách'!$B$6:$B$20,"MT")/F16)</f>
        <v>0.69635627530364375</v>
      </c>
      <c r="AQ18">
        <v>1250000000</v>
      </c>
    </row>
    <row r="19" spans="2:43" x14ac:dyDescent="0.35">
      <c r="B19" s="5" t="s">
        <v>21</v>
      </c>
      <c r="C19" s="9">
        <v>3</v>
      </c>
      <c r="E19" s="7" t="s">
        <v>22</v>
      </c>
      <c r="F19" s="11">
        <f>IF(F16=0,"",SUMIFS('1. Lịch &amp; ngân sách'!$F$6:$F$20,'1. Lịch &amp; ngân sách'!$B$6:$B$20,"GT")/F16)</f>
        <v>0.30364372469635625</v>
      </c>
      <c r="AQ19">
        <v>3</v>
      </c>
    </row>
    <row r="20" spans="2:43" x14ac:dyDescent="0.35">
      <c r="B20" s="5" t="s">
        <v>23</v>
      </c>
      <c r="C20" s="12">
        <v>46461</v>
      </c>
      <c r="E20" s="7" t="s">
        <v>24</v>
      </c>
      <c r="F20" s="13">
        <f>COUNTA('1. Lịch &amp; ngân sách'!$A$6:$A$20)</f>
        <v>9</v>
      </c>
      <c r="AQ20" s="14">
        <v>46461</v>
      </c>
    </row>
    <row r="21" spans="2:43" x14ac:dyDescent="0.35">
      <c r="E21" s="7" t="s">
        <v>25</v>
      </c>
      <c r="F21" s="8">
        <f>'1. Lịch &amp; ngân sách'!$G$21</f>
        <v>335000000</v>
      </c>
    </row>
    <row r="22" spans="2:43" x14ac:dyDescent="0.35">
      <c r="E22" s="7" t="s">
        <v>26</v>
      </c>
      <c r="F22" s="15" t="str">
        <f>'2. KPI &amp; báo cáo'!$B$25</f>
        <v>2/4</v>
      </c>
    </row>
    <row r="23" spans="2:43" x14ac:dyDescent="0.35">
      <c r="E23" s="7" t="s">
        <v>27</v>
      </c>
      <c r="F23" s="13">
        <f ca="1">COUNTIF('1. Lịch &amp; ngân sách'!$Y$6:$Y$20,"Trễ hạn chốt")</f>
        <v>1</v>
      </c>
    </row>
    <row r="24" spans="2:43" x14ac:dyDescent="0.35">
      <c r="E24" s="7" t="s">
        <v>28</v>
      </c>
      <c r="F24" s="16">
        <f ca="1">IF(C20="",TODAY(),C20)</f>
        <v>46461</v>
      </c>
    </row>
    <row r="25" spans="2:43" x14ac:dyDescent="0.35">
      <c r="E25" s="7" t="s">
        <v>29</v>
      </c>
      <c r="F25" s="13">
        <f>'1. Lịch &amp; ngân sách'!$AO$1+'2. KPI &amp; báo cáo'!$AO$1+'0. Bắt đầu'!$AO$1</f>
        <v>162</v>
      </c>
    </row>
    <row r="26" spans="2:43" x14ac:dyDescent="0.35">
      <c r="B26" s="49" t="s">
        <v>30</v>
      </c>
      <c r="C26" s="47"/>
      <c r="E26" s="49" t="s">
        <v>31</v>
      </c>
      <c r="F26" s="47"/>
    </row>
    <row r="44" spans="5:6" x14ac:dyDescent="0.35">
      <c r="E44" s="17" t="s">
        <v>32</v>
      </c>
      <c r="F44" s="17" t="s">
        <v>33</v>
      </c>
    </row>
    <row r="45" spans="5:6" x14ac:dyDescent="0.35">
      <c r="E45" s="7" t="s">
        <v>34</v>
      </c>
      <c r="F45" s="18">
        <f>SUMIFS('1. Lịch &amp; ngân sách'!$F$6:$F$20,'1. Lịch &amp; ngân sách'!$C$6:$C$20,E45)</f>
        <v>385000000</v>
      </c>
    </row>
    <row r="46" spans="5:6" x14ac:dyDescent="0.35">
      <c r="E46" s="7" t="s">
        <v>35</v>
      </c>
      <c r="F46" s="18">
        <f>SUMIFS('1. Lịch &amp; ngân sách'!$F$6:$F$20,'1. Lịch &amp; ngân sách'!$C$6:$C$20,E46)</f>
        <v>320000000</v>
      </c>
    </row>
    <row r="47" spans="5:6" x14ac:dyDescent="0.35">
      <c r="E47" s="7" t="s">
        <v>36</v>
      </c>
      <c r="F47" s="18">
        <f>SUMIFS('1. Lịch &amp; ngân sách'!$F$6:$F$20,'1. Lịch &amp; ngân sách'!$C$6:$C$20,E47)</f>
        <v>220000000</v>
      </c>
    </row>
    <row r="48" spans="5:6" x14ac:dyDescent="0.35">
      <c r="E48" s="7" t="s">
        <v>37</v>
      </c>
      <c r="F48" s="18">
        <f>SUMIFS('1. Lịch &amp; ngân sách'!$F$6:$F$20,'1. Lịch &amp; ngân sách'!$C$6:$C$20,E48)</f>
        <v>310000000</v>
      </c>
    </row>
    <row r="51" spans="2:6" x14ac:dyDescent="0.35">
      <c r="B51" s="49" t="s">
        <v>38</v>
      </c>
      <c r="C51" s="47"/>
      <c r="D51" s="47"/>
      <c r="E51" s="47"/>
      <c r="F51" s="47"/>
    </row>
    <row r="52" spans="2:6" x14ac:dyDescent="0.35">
      <c r="B52" s="19" t="s">
        <v>39</v>
      </c>
      <c r="C52" s="46" t="s">
        <v>40</v>
      </c>
      <c r="D52" s="47"/>
      <c r="E52" s="47"/>
      <c r="F52" s="47"/>
    </row>
    <row r="53" spans="2:6" x14ac:dyDescent="0.35">
      <c r="B53" s="19" t="s">
        <v>41</v>
      </c>
      <c r="C53" s="46" t="s">
        <v>42</v>
      </c>
      <c r="D53" s="47"/>
      <c r="E53" s="47"/>
      <c r="F53" s="47"/>
    </row>
    <row r="54" spans="2:6" x14ac:dyDescent="0.35">
      <c r="B54" s="19" t="s">
        <v>43</v>
      </c>
      <c r="C54" s="46" t="s">
        <v>44</v>
      </c>
      <c r="D54" s="47"/>
      <c r="E54" s="47"/>
      <c r="F54" s="47"/>
    </row>
    <row r="57" spans="2:6" x14ac:dyDescent="0.35">
      <c r="B57" s="20" t="s">
        <v>45</v>
      </c>
    </row>
  </sheetData>
  <sheetProtection sheet="1" formatCells="0" formatColumns="0" formatRows="0" insertRows="0" deleteRows="0"/>
  <mergeCells count="16">
    <mergeCell ref="B2:C2"/>
    <mergeCell ref="B7:F7"/>
    <mergeCell ref="B6:F6"/>
    <mergeCell ref="B15:C15"/>
    <mergeCell ref="E15:F15"/>
    <mergeCell ref="E2:F2"/>
    <mergeCell ref="B3:F3"/>
    <mergeCell ref="C54:F54"/>
    <mergeCell ref="B8:F8"/>
    <mergeCell ref="E26:F26"/>
    <mergeCell ref="B9:F9"/>
    <mergeCell ref="B4:F4"/>
    <mergeCell ref="C52:F52"/>
    <mergeCell ref="C53:F53"/>
    <mergeCell ref="B26:C26"/>
    <mergeCell ref="B51:F51"/>
  </mergeCells>
  <conditionalFormatting sqref="C12">
    <cfRule type="expression" dxfId="46" priority="1">
      <formula>F17&lt;0</formula>
    </cfRule>
    <cfRule type="expression" dxfId="45" priority="2">
      <formula>F17&gt;=0</formula>
    </cfRule>
  </conditionalFormatting>
  <conditionalFormatting sqref="C16:C20">
    <cfRule type="expression" dxfId="44" priority="6">
      <formula>AND(C16&lt;&gt;"",AQ16&lt;&gt;"",C16=AQ16)</formula>
    </cfRule>
  </conditionalFormatting>
  <conditionalFormatting sqref="F17">
    <cfRule type="expression" dxfId="43" priority="3">
      <formula>$F$17&lt;0</formula>
    </cfRule>
    <cfRule type="expression" dxfId="42" priority="4">
      <formula>AND(ISNUMBER($F$17),$F$17&gt;=0)</formula>
    </cfRule>
  </conditionalFormatting>
  <conditionalFormatting sqref="F23">
    <cfRule type="expression" dxfId="41" priority="5">
      <formula>AND(ISNUMBER(F23),F23&gt;0)</formula>
    </cfRule>
  </conditionalFormatting>
  <conditionalFormatting sqref="F25">
    <cfRule type="expression" dxfId="40" priority="7">
      <formula>AND(ISNUMBER(F25),F25&gt;0)</formula>
    </cfRule>
  </conditionalFormatting>
  <dataValidations count="1">
    <dataValidation type="decimal" operator="greaterThanOrEqual" allowBlank="1" showInputMessage="1" showErrorMessage="1" errorTitle="Cần nhập số" error="Ô này chỉ nhận số từ 0 trở lên." promptTitle="Tổng ngân sách năm" prompt="Tổng tiền trade marketing cả năm, chưa VAT." sqref="C18" xr:uid="{00000000-0002-0000-0000-000001000000}">
      <formula1>0</formula1>
    </dataValidation>
  </dataValidations>
  <hyperlinks>
    <hyperlink ref="B52" location="'1. Lịch &amp; ngân sách'!A1" display="1. Lịch &amp; ngân sách" xr:uid="{00000000-0004-0000-0000-000000000000}"/>
    <hyperlink ref="B53" location="'2. KPI &amp; báo cáo'!A1" display="2. KPI &amp; báo cáo" xr:uid="{00000000-0004-0000-0000-000001000000}"/>
    <hyperlink ref="B54" location="'Danh mục'!A1" display="Danh mục" xr:uid="{00000000-0004-0000-0000-000002000000}"/>
  </hyperlinks>
  <printOptions horizontalCentered="1"/>
  <pageMargins left="0.4" right="0.4" top="0.5" bottom="0.6" header="0.5" footer="0.5"/>
  <pageSetup paperSize="9" fitToHeight="0" orientation="landscape"/>
  <headerFooter>
    <oddHeader>&amp;L&amp;9 &amp;K808080&amp;A</oddHeader>
    <oddFooter>&amp;C&amp;8 &amp;K808080Mẫu của A.M Agency – amagency.vn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Giá trị không có trong danh sách" error="Chọn một giá trị trong danh sách." promptTitle="Tháng đang báo cáo" prompt="Bấm mũi tên để chọn." xr:uid="{00000000-0002-0000-0000-000000000000}">
          <x14:formula1>
            <xm:f>'Danh mục'!$I$5:$I$16</xm:f>
          </x14:formula1>
          <xm:sqref>C19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F6DB5"/>
    <pageSetUpPr fitToPage="1"/>
  </sheetPr>
  <dimension ref="A1:BL28"/>
  <sheetViews>
    <sheetView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4.5" x14ac:dyDescent="0.35"/>
  <cols>
    <col min="1" max="1" width="30" customWidth="1"/>
    <col min="2" max="2" width="7" customWidth="1"/>
    <col min="3" max="3" width="27" customWidth="1"/>
    <col min="4" max="5" width="8" customWidth="1"/>
    <col min="6" max="6" width="15" customWidth="1"/>
    <col min="7" max="8" width="14" customWidth="1"/>
    <col min="9" max="20" width="5.453125" customWidth="1"/>
    <col min="21" max="21" width="12" customWidth="1"/>
    <col min="22" max="22" width="11" customWidth="1"/>
    <col min="23" max="23" width="12" customWidth="1"/>
    <col min="24" max="24" width="14" customWidth="1"/>
    <col min="25" max="25" width="16" customWidth="1"/>
    <col min="41" max="64" width="13" hidden="1" customWidth="1"/>
  </cols>
  <sheetData>
    <row r="1" spans="1:64" ht="28" customHeight="1" x14ac:dyDescent="0.35">
      <c r="A1" s="21" t="s">
        <v>46</v>
      </c>
      <c r="AO1">
        <f>SUMPRODUCT((A6:G20&lt;&gt;"")*(AO6:AU20&lt;&gt;"")*(A6:G20=AO6:AU20))+SUMPRODUCT((U6:V20&lt;&gt;"")*(BI6:BJ20&lt;&gt;"")*(U6:V20=BI6:BJ20))+SUMPRODUCT((X6:X20&lt;&gt;"")*(BL6:BL20&lt;&gt;"")*(X6:X20=BL6:BL20))</f>
        <v>84</v>
      </c>
    </row>
    <row r="2" spans="1:64" x14ac:dyDescent="0.35">
      <c r="A2" s="22" t="s">
        <v>47</v>
      </c>
    </row>
    <row r="4" spans="1:64" ht="36" customHeight="1" x14ac:dyDescent="0.35">
      <c r="J4" s="23" t="s">
        <v>48</v>
      </c>
      <c r="K4" s="23" t="s">
        <v>49</v>
      </c>
      <c r="Q4" s="23" t="s">
        <v>50</v>
      </c>
    </row>
    <row r="5" spans="1:64" ht="44" customHeight="1" x14ac:dyDescent="0.35">
      <c r="A5" s="24" t="s">
        <v>51</v>
      </c>
      <c r="B5" s="24" t="s">
        <v>52</v>
      </c>
      <c r="C5" s="24" t="s">
        <v>53</v>
      </c>
      <c r="D5" s="24" t="s">
        <v>54</v>
      </c>
      <c r="E5" s="24" t="s">
        <v>55</v>
      </c>
      <c r="F5" s="24" t="s">
        <v>33</v>
      </c>
      <c r="G5" s="24" t="s">
        <v>56</v>
      </c>
      <c r="H5" s="24" t="s">
        <v>57</v>
      </c>
      <c r="I5" s="24" t="s">
        <v>58</v>
      </c>
      <c r="J5" s="24" t="s">
        <v>59</v>
      </c>
      <c r="K5" s="24" t="s">
        <v>60</v>
      </c>
      <c r="L5" s="24" t="s">
        <v>61</v>
      </c>
      <c r="M5" s="24" t="s">
        <v>62</v>
      </c>
      <c r="N5" s="24" t="s">
        <v>63</v>
      </c>
      <c r="O5" s="24" t="s">
        <v>64</v>
      </c>
      <c r="P5" s="24" t="s">
        <v>65</v>
      </c>
      <c r="Q5" s="24" t="s">
        <v>66</v>
      </c>
      <c r="R5" s="24" t="s">
        <v>67</v>
      </c>
      <c r="S5" s="24" t="s">
        <v>68</v>
      </c>
      <c r="T5" s="24" t="s">
        <v>69</v>
      </c>
      <c r="U5" s="24" t="s">
        <v>70</v>
      </c>
      <c r="V5" s="24" t="s">
        <v>71</v>
      </c>
      <c r="W5" s="24" t="s">
        <v>72</v>
      </c>
      <c r="X5" s="24" t="s">
        <v>73</v>
      </c>
      <c r="Y5" s="24" t="s">
        <v>74</v>
      </c>
    </row>
    <row r="6" spans="1:64" x14ac:dyDescent="0.35">
      <c r="A6" s="25" t="s">
        <v>75</v>
      </c>
      <c r="B6" s="26" t="s">
        <v>76</v>
      </c>
      <c r="C6" s="25" t="s">
        <v>34</v>
      </c>
      <c r="D6" s="26">
        <v>1</v>
      </c>
      <c r="E6" s="26">
        <v>2</v>
      </c>
      <c r="F6" s="27">
        <v>140000000</v>
      </c>
      <c r="G6" s="27">
        <v>138500000</v>
      </c>
      <c r="H6" s="18">
        <f t="shared" ref="H6:H20" si="0">IF(F6="","",F6-G6)</f>
        <v>1500000</v>
      </c>
      <c r="I6" s="28" t="str">
        <f t="shared" ref="I6:I20" si="1">IF(AND($D6&lt;&gt;"",$E6&lt;&gt;"",1&gt;=$D6,1&lt;=$E6),$B6,"")</f>
        <v>MT</v>
      </c>
      <c r="J6" s="28" t="str">
        <f t="shared" ref="J6:J20" si="2">IF(AND($D6&lt;&gt;"",$E6&lt;&gt;"",2&gt;=$D6,2&lt;=$E6),$B6,"")</f>
        <v>MT</v>
      </c>
      <c r="K6" s="28" t="str">
        <f t="shared" ref="K6:K20" si="3">IF(AND($D6&lt;&gt;"",$E6&lt;&gt;"",3&gt;=$D6,3&lt;=$E6),$B6,"")</f>
        <v/>
      </c>
      <c r="L6" s="28" t="str">
        <f t="shared" ref="L6:L20" si="4">IF(AND($D6&lt;&gt;"",$E6&lt;&gt;"",4&gt;=$D6,4&lt;=$E6),$B6,"")</f>
        <v/>
      </c>
      <c r="M6" s="28" t="str">
        <f t="shared" ref="M6:M20" si="5">IF(AND($D6&lt;&gt;"",$E6&lt;&gt;"",5&gt;=$D6,5&lt;=$E6),$B6,"")</f>
        <v/>
      </c>
      <c r="N6" s="28" t="str">
        <f t="shared" ref="N6:N20" si="6">IF(AND($D6&lt;&gt;"",$E6&lt;&gt;"",6&gt;=$D6,6&lt;=$E6),$B6,"")</f>
        <v/>
      </c>
      <c r="O6" s="28" t="str">
        <f t="shared" ref="O6:O20" si="7">IF(AND($D6&lt;&gt;"",$E6&lt;&gt;"",7&gt;=$D6,7&lt;=$E6),$B6,"")</f>
        <v/>
      </c>
      <c r="P6" s="28" t="str">
        <f t="shared" ref="P6:P20" si="8">IF(AND($D6&lt;&gt;"",$E6&lt;&gt;"",8&gt;=$D6,8&lt;=$E6),$B6,"")</f>
        <v/>
      </c>
      <c r="Q6" s="28" t="str">
        <f t="shared" ref="Q6:Q20" si="9">IF(AND($D6&lt;&gt;"",$E6&lt;&gt;"",9&gt;=$D6,9&lt;=$E6),$B6,"")</f>
        <v/>
      </c>
      <c r="R6" s="28" t="str">
        <f t="shared" ref="R6:R20" si="10">IF(AND($D6&lt;&gt;"",$E6&lt;&gt;"",10&gt;=$D6,10&lt;=$E6),$B6,"")</f>
        <v/>
      </c>
      <c r="S6" s="28" t="str">
        <f t="shared" ref="S6:S20" si="11">IF(AND($D6&lt;&gt;"",$E6&lt;&gt;"",11&gt;=$D6,11&lt;=$E6),$B6,"")</f>
        <v/>
      </c>
      <c r="T6" s="28" t="str">
        <f t="shared" ref="T6:T20" si="12">IF(AND($D6&lt;&gt;"",$E6&lt;&gt;"",12&gt;=$D6,12&lt;=$E6),$B6,"")</f>
        <v/>
      </c>
      <c r="U6" s="29">
        <v>46391</v>
      </c>
      <c r="V6" s="26">
        <v>6</v>
      </c>
      <c r="W6" s="30">
        <f t="shared" ref="W6:W20" si="13">IF(OR(U6="",V6=""),"",U6-7*V6)</f>
        <v>46349</v>
      </c>
      <c r="X6" s="25" t="s">
        <v>77</v>
      </c>
      <c r="Y6" s="7" t="str">
        <f t="shared" ref="Y6:Y20" si="14">IF(W6="","",IF(OR(X6="Đã chốt",X6="Đang chạy",X6="Đã xong"),"Đã chốt",IF(W6&lt;NGAY_XEM,"Trễ hạn chốt",IF(W6-NGAY_XEM&lt;=14,"Gấp (≤ 14 ngày)","Còn thời gian"))))</f>
        <v>Đã chốt</v>
      </c>
      <c r="AO6" t="s">
        <v>75</v>
      </c>
      <c r="AP6" t="s">
        <v>76</v>
      </c>
      <c r="AQ6" t="s">
        <v>34</v>
      </c>
      <c r="AR6">
        <v>1</v>
      </c>
      <c r="AS6">
        <v>2</v>
      </c>
      <c r="AT6">
        <v>140000000</v>
      </c>
      <c r="AU6">
        <v>138500000</v>
      </c>
      <c r="BI6" s="14">
        <v>46391</v>
      </c>
      <c r="BJ6">
        <v>6</v>
      </c>
      <c r="BL6" t="s">
        <v>77</v>
      </c>
    </row>
    <row r="7" spans="1:64" x14ac:dyDescent="0.35">
      <c r="A7" s="25" t="s">
        <v>78</v>
      </c>
      <c r="B7" s="26" t="s">
        <v>79</v>
      </c>
      <c r="C7" s="25" t="s">
        <v>37</v>
      </c>
      <c r="D7" s="26">
        <v>1</v>
      </c>
      <c r="E7" s="26">
        <v>2</v>
      </c>
      <c r="F7" s="27">
        <v>110000000</v>
      </c>
      <c r="G7" s="27">
        <v>106400000</v>
      </c>
      <c r="H7" s="18">
        <f t="shared" si="0"/>
        <v>3600000</v>
      </c>
      <c r="I7" s="28" t="str">
        <f t="shared" si="1"/>
        <v>GT</v>
      </c>
      <c r="J7" s="28" t="str">
        <f t="shared" si="2"/>
        <v>GT</v>
      </c>
      <c r="K7" s="28" t="str">
        <f t="shared" si="3"/>
        <v/>
      </c>
      <c r="L7" s="28" t="str">
        <f t="shared" si="4"/>
        <v/>
      </c>
      <c r="M7" s="28" t="str">
        <f t="shared" si="5"/>
        <v/>
      </c>
      <c r="N7" s="28" t="str">
        <f t="shared" si="6"/>
        <v/>
      </c>
      <c r="O7" s="28" t="str">
        <f t="shared" si="7"/>
        <v/>
      </c>
      <c r="P7" s="28" t="str">
        <f t="shared" si="8"/>
        <v/>
      </c>
      <c r="Q7" s="28" t="str">
        <f t="shared" si="9"/>
        <v/>
      </c>
      <c r="R7" s="28" t="str">
        <f t="shared" si="10"/>
        <v/>
      </c>
      <c r="S7" s="28" t="str">
        <f t="shared" si="11"/>
        <v/>
      </c>
      <c r="T7" s="28" t="str">
        <f t="shared" si="12"/>
        <v/>
      </c>
      <c r="U7" s="29">
        <v>46391</v>
      </c>
      <c r="V7" s="26">
        <v>5</v>
      </c>
      <c r="W7" s="30">
        <f t="shared" si="13"/>
        <v>46356</v>
      </c>
      <c r="X7" s="25" t="s">
        <v>77</v>
      </c>
      <c r="Y7" s="7" t="str">
        <f t="shared" si="14"/>
        <v>Đã chốt</v>
      </c>
      <c r="AO7" t="s">
        <v>78</v>
      </c>
      <c r="AP7" t="s">
        <v>79</v>
      </c>
      <c r="AQ7" t="s">
        <v>37</v>
      </c>
      <c r="AR7">
        <v>1</v>
      </c>
      <c r="AS7">
        <v>2</v>
      </c>
      <c r="AT7">
        <v>110000000</v>
      </c>
      <c r="AU7">
        <v>106400000</v>
      </c>
      <c r="BI7" s="14">
        <v>46391</v>
      </c>
      <c r="BJ7">
        <v>5</v>
      </c>
      <c r="BL7" t="s">
        <v>77</v>
      </c>
    </row>
    <row r="8" spans="1:64" x14ac:dyDescent="0.35">
      <c r="A8" s="25" t="s">
        <v>80</v>
      </c>
      <c r="B8" s="26" t="s">
        <v>76</v>
      </c>
      <c r="C8" s="25" t="s">
        <v>35</v>
      </c>
      <c r="D8" s="26">
        <v>3</v>
      </c>
      <c r="E8" s="26">
        <v>3</v>
      </c>
      <c r="F8" s="27">
        <v>94100000</v>
      </c>
      <c r="G8" s="27">
        <v>90100000</v>
      </c>
      <c r="H8" s="18">
        <f t="shared" si="0"/>
        <v>4000000</v>
      </c>
      <c r="I8" s="28" t="str">
        <f t="shared" si="1"/>
        <v/>
      </c>
      <c r="J8" s="28" t="str">
        <f t="shared" si="2"/>
        <v/>
      </c>
      <c r="K8" s="28" t="str">
        <f t="shared" si="3"/>
        <v>MT</v>
      </c>
      <c r="L8" s="28" t="str">
        <f t="shared" si="4"/>
        <v/>
      </c>
      <c r="M8" s="28" t="str">
        <f t="shared" si="5"/>
        <v/>
      </c>
      <c r="N8" s="28" t="str">
        <f t="shared" si="6"/>
        <v/>
      </c>
      <c r="O8" s="28" t="str">
        <f t="shared" si="7"/>
        <v/>
      </c>
      <c r="P8" s="28" t="str">
        <f t="shared" si="8"/>
        <v/>
      </c>
      <c r="Q8" s="28" t="str">
        <f t="shared" si="9"/>
        <v/>
      </c>
      <c r="R8" s="28" t="str">
        <f t="shared" si="10"/>
        <v/>
      </c>
      <c r="S8" s="28" t="str">
        <f t="shared" si="11"/>
        <v/>
      </c>
      <c r="T8" s="28" t="str">
        <f t="shared" si="12"/>
        <v/>
      </c>
      <c r="U8" s="29">
        <v>46447</v>
      </c>
      <c r="V8" s="26">
        <v>4</v>
      </c>
      <c r="W8" s="30">
        <f t="shared" si="13"/>
        <v>46419</v>
      </c>
      <c r="X8" s="25" t="s">
        <v>81</v>
      </c>
      <c r="Y8" s="7" t="str">
        <f t="shared" si="14"/>
        <v>Đã chốt</v>
      </c>
      <c r="AO8" t="s">
        <v>80</v>
      </c>
      <c r="AP8" t="s">
        <v>76</v>
      </c>
      <c r="AQ8" t="s">
        <v>35</v>
      </c>
      <c r="AR8">
        <v>3</v>
      </c>
      <c r="AS8">
        <v>3</v>
      </c>
      <c r="AT8">
        <v>94100000</v>
      </c>
      <c r="AU8">
        <v>90100000</v>
      </c>
      <c r="BI8" s="14">
        <v>46447</v>
      </c>
      <c r="BJ8">
        <v>4</v>
      </c>
      <c r="BL8" t="s">
        <v>81</v>
      </c>
    </row>
    <row r="9" spans="1:64" x14ac:dyDescent="0.35">
      <c r="A9" s="25" t="s">
        <v>82</v>
      </c>
      <c r="B9" s="26" t="s">
        <v>76</v>
      </c>
      <c r="C9" s="25" t="s">
        <v>36</v>
      </c>
      <c r="D9" s="26">
        <v>5</v>
      </c>
      <c r="E9" s="26">
        <v>7</v>
      </c>
      <c r="F9" s="27">
        <v>220000000</v>
      </c>
      <c r="G9" s="27"/>
      <c r="H9" s="18">
        <f t="shared" si="0"/>
        <v>220000000</v>
      </c>
      <c r="I9" s="28" t="str">
        <f t="shared" si="1"/>
        <v/>
      </c>
      <c r="J9" s="28" t="str">
        <f t="shared" si="2"/>
        <v/>
      </c>
      <c r="K9" s="28" t="str">
        <f t="shared" si="3"/>
        <v/>
      </c>
      <c r="L9" s="28" t="str">
        <f t="shared" si="4"/>
        <v/>
      </c>
      <c r="M9" s="28" t="str">
        <f t="shared" si="5"/>
        <v>MT</v>
      </c>
      <c r="N9" s="28" t="str">
        <f t="shared" si="6"/>
        <v>MT</v>
      </c>
      <c r="O9" s="28" t="str">
        <f t="shared" si="7"/>
        <v>MT</v>
      </c>
      <c r="P9" s="28" t="str">
        <f t="shared" si="8"/>
        <v/>
      </c>
      <c r="Q9" s="28" t="str">
        <f t="shared" si="9"/>
        <v/>
      </c>
      <c r="R9" s="28" t="str">
        <f t="shared" si="10"/>
        <v/>
      </c>
      <c r="S9" s="28" t="str">
        <f t="shared" si="11"/>
        <v/>
      </c>
      <c r="T9" s="28" t="str">
        <f t="shared" si="12"/>
        <v/>
      </c>
      <c r="U9" s="29">
        <v>46510</v>
      </c>
      <c r="V9" s="26">
        <v>6</v>
      </c>
      <c r="W9" s="30">
        <f t="shared" si="13"/>
        <v>46468</v>
      </c>
      <c r="X9" s="25" t="s">
        <v>83</v>
      </c>
      <c r="Y9" s="7" t="str">
        <f t="shared" ca="1" si="14"/>
        <v>Gấp (≤ 14 ngày)</v>
      </c>
      <c r="AO9" t="s">
        <v>82</v>
      </c>
      <c r="AP9" t="s">
        <v>76</v>
      </c>
      <c r="AQ9" t="s">
        <v>36</v>
      </c>
      <c r="AR9">
        <v>5</v>
      </c>
      <c r="AS9">
        <v>7</v>
      </c>
      <c r="AT9">
        <v>220000000</v>
      </c>
      <c r="BI9" s="14">
        <v>46510</v>
      </c>
      <c r="BJ9">
        <v>6</v>
      </c>
      <c r="BL9" t="s">
        <v>83</v>
      </c>
    </row>
    <row r="10" spans="1:64" x14ac:dyDescent="0.35">
      <c r="A10" s="25" t="s">
        <v>84</v>
      </c>
      <c r="B10" s="26" t="s">
        <v>79</v>
      </c>
      <c r="C10" s="25" t="s">
        <v>34</v>
      </c>
      <c r="D10" s="26">
        <v>4</v>
      </c>
      <c r="E10" s="26">
        <v>6</v>
      </c>
      <c r="F10" s="27">
        <v>65000000</v>
      </c>
      <c r="G10" s="27"/>
      <c r="H10" s="18">
        <f t="shared" si="0"/>
        <v>65000000</v>
      </c>
      <c r="I10" s="28" t="str">
        <f t="shared" si="1"/>
        <v/>
      </c>
      <c r="J10" s="28" t="str">
        <f t="shared" si="2"/>
        <v/>
      </c>
      <c r="K10" s="28" t="str">
        <f t="shared" si="3"/>
        <v/>
      </c>
      <c r="L10" s="28" t="str">
        <f t="shared" si="4"/>
        <v>GT</v>
      </c>
      <c r="M10" s="28" t="str">
        <f t="shared" si="5"/>
        <v>GT</v>
      </c>
      <c r="N10" s="28" t="str">
        <f t="shared" si="6"/>
        <v>GT</v>
      </c>
      <c r="O10" s="28" t="str">
        <f t="shared" si="7"/>
        <v/>
      </c>
      <c r="P10" s="28" t="str">
        <f t="shared" si="8"/>
        <v/>
      </c>
      <c r="Q10" s="28" t="str">
        <f t="shared" si="9"/>
        <v/>
      </c>
      <c r="R10" s="28" t="str">
        <f t="shared" si="10"/>
        <v/>
      </c>
      <c r="S10" s="28" t="str">
        <f t="shared" si="11"/>
        <v/>
      </c>
      <c r="T10" s="28" t="str">
        <f t="shared" si="12"/>
        <v/>
      </c>
      <c r="U10" s="29">
        <v>46482</v>
      </c>
      <c r="V10" s="26">
        <v>4</v>
      </c>
      <c r="W10" s="30">
        <f t="shared" si="13"/>
        <v>46454</v>
      </c>
      <c r="X10" s="25" t="s">
        <v>85</v>
      </c>
      <c r="Y10" s="7" t="str">
        <f t="shared" ca="1" si="14"/>
        <v>Trễ hạn chốt</v>
      </c>
      <c r="AO10" t="s">
        <v>84</v>
      </c>
      <c r="AP10" t="s">
        <v>79</v>
      </c>
      <c r="AQ10" t="s">
        <v>34</v>
      </c>
      <c r="AR10">
        <v>4</v>
      </c>
      <c r="AS10">
        <v>6</v>
      </c>
      <c r="AT10">
        <v>65000000</v>
      </c>
      <c r="BI10" s="14">
        <v>46482</v>
      </c>
      <c r="BJ10">
        <v>4</v>
      </c>
      <c r="BL10" t="s">
        <v>85</v>
      </c>
    </row>
    <row r="11" spans="1:64" x14ac:dyDescent="0.35">
      <c r="A11" s="25" t="s">
        <v>86</v>
      </c>
      <c r="B11" s="26" t="s">
        <v>76</v>
      </c>
      <c r="C11" s="25" t="s">
        <v>35</v>
      </c>
      <c r="D11" s="26">
        <v>8</v>
      </c>
      <c r="E11" s="26">
        <v>9</v>
      </c>
      <c r="F11" s="27">
        <v>225900000</v>
      </c>
      <c r="G11" s="27"/>
      <c r="H11" s="18">
        <f t="shared" si="0"/>
        <v>225900000</v>
      </c>
      <c r="I11" s="28" t="str">
        <f t="shared" si="1"/>
        <v/>
      </c>
      <c r="J11" s="28" t="str">
        <f t="shared" si="2"/>
        <v/>
      </c>
      <c r="K11" s="28" t="str">
        <f t="shared" si="3"/>
        <v/>
      </c>
      <c r="L11" s="28" t="str">
        <f t="shared" si="4"/>
        <v/>
      </c>
      <c r="M11" s="28" t="str">
        <f t="shared" si="5"/>
        <v/>
      </c>
      <c r="N11" s="28" t="str">
        <f t="shared" si="6"/>
        <v/>
      </c>
      <c r="O11" s="28" t="str">
        <f t="shared" si="7"/>
        <v/>
      </c>
      <c r="P11" s="28" t="str">
        <f t="shared" si="8"/>
        <v>MT</v>
      </c>
      <c r="Q11" s="28" t="str">
        <f t="shared" si="9"/>
        <v>MT</v>
      </c>
      <c r="R11" s="28" t="str">
        <f t="shared" si="10"/>
        <v/>
      </c>
      <c r="S11" s="28" t="str">
        <f t="shared" si="11"/>
        <v/>
      </c>
      <c r="T11" s="28" t="str">
        <f t="shared" si="12"/>
        <v/>
      </c>
      <c r="U11" s="29">
        <v>46615</v>
      </c>
      <c r="V11" s="26">
        <v>6</v>
      </c>
      <c r="W11" s="30">
        <f t="shared" si="13"/>
        <v>46573</v>
      </c>
      <c r="X11" s="25" t="s">
        <v>85</v>
      </c>
      <c r="Y11" s="7" t="str">
        <f t="shared" ca="1" si="14"/>
        <v>Còn thời gian</v>
      </c>
      <c r="AO11" t="s">
        <v>86</v>
      </c>
      <c r="AP11" t="s">
        <v>76</v>
      </c>
      <c r="AQ11" t="s">
        <v>35</v>
      </c>
      <c r="AR11">
        <v>8</v>
      </c>
      <c r="AS11">
        <v>9</v>
      </c>
      <c r="AT11">
        <v>225900000</v>
      </c>
      <c r="BI11" s="14">
        <v>46615</v>
      </c>
      <c r="BJ11">
        <v>6</v>
      </c>
      <c r="BL11" t="s">
        <v>85</v>
      </c>
    </row>
    <row r="12" spans="1:64" x14ac:dyDescent="0.35">
      <c r="A12" s="25" t="s">
        <v>87</v>
      </c>
      <c r="B12" s="26" t="s">
        <v>79</v>
      </c>
      <c r="C12" s="25" t="s">
        <v>37</v>
      </c>
      <c r="D12" s="26">
        <v>8</v>
      </c>
      <c r="E12" s="26">
        <v>9</v>
      </c>
      <c r="F12" s="27">
        <v>90000000</v>
      </c>
      <c r="G12" s="27"/>
      <c r="H12" s="18">
        <f t="shared" si="0"/>
        <v>90000000</v>
      </c>
      <c r="I12" s="28" t="str">
        <f t="shared" si="1"/>
        <v/>
      </c>
      <c r="J12" s="28" t="str">
        <f t="shared" si="2"/>
        <v/>
      </c>
      <c r="K12" s="28" t="str">
        <f t="shared" si="3"/>
        <v/>
      </c>
      <c r="L12" s="28" t="str">
        <f t="shared" si="4"/>
        <v/>
      </c>
      <c r="M12" s="28" t="str">
        <f t="shared" si="5"/>
        <v/>
      </c>
      <c r="N12" s="28" t="str">
        <f t="shared" si="6"/>
        <v/>
      </c>
      <c r="O12" s="28" t="str">
        <f t="shared" si="7"/>
        <v/>
      </c>
      <c r="P12" s="28" t="str">
        <f t="shared" si="8"/>
        <v>GT</v>
      </c>
      <c r="Q12" s="28" t="str">
        <f t="shared" si="9"/>
        <v>GT</v>
      </c>
      <c r="R12" s="28" t="str">
        <f t="shared" si="10"/>
        <v/>
      </c>
      <c r="S12" s="28" t="str">
        <f t="shared" si="11"/>
        <v/>
      </c>
      <c r="T12" s="28" t="str">
        <f t="shared" si="12"/>
        <v/>
      </c>
      <c r="U12" s="29">
        <v>46615</v>
      </c>
      <c r="V12" s="26">
        <v>4</v>
      </c>
      <c r="W12" s="30">
        <f t="shared" si="13"/>
        <v>46587</v>
      </c>
      <c r="X12" s="25" t="s">
        <v>85</v>
      </c>
      <c r="Y12" s="7" t="str">
        <f t="shared" ca="1" si="14"/>
        <v>Còn thời gian</v>
      </c>
      <c r="AO12" t="s">
        <v>87</v>
      </c>
      <c r="AP12" t="s">
        <v>79</v>
      </c>
      <c r="AQ12" t="s">
        <v>37</v>
      </c>
      <c r="AR12">
        <v>8</v>
      </c>
      <c r="AS12">
        <v>9</v>
      </c>
      <c r="AT12">
        <v>90000000</v>
      </c>
      <c r="BI12" s="14">
        <v>46615</v>
      </c>
      <c r="BJ12">
        <v>4</v>
      </c>
      <c r="BL12" t="s">
        <v>85</v>
      </c>
    </row>
    <row r="13" spans="1:64" x14ac:dyDescent="0.35">
      <c r="A13" s="25" t="s">
        <v>88</v>
      </c>
      <c r="B13" s="26" t="s">
        <v>76</v>
      </c>
      <c r="C13" s="25" t="s">
        <v>34</v>
      </c>
      <c r="D13" s="26">
        <v>11</v>
      </c>
      <c r="E13" s="26">
        <v>12</v>
      </c>
      <c r="F13" s="27">
        <v>180000000</v>
      </c>
      <c r="G13" s="27"/>
      <c r="H13" s="18">
        <f t="shared" si="0"/>
        <v>180000000</v>
      </c>
      <c r="I13" s="28" t="str">
        <f t="shared" si="1"/>
        <v/>
      </c>
      <c r="J13" s="28" t="str">
        <f t="shared" si="2"/>
        <v/>
      </c>
      <c r="K13" s="28" t="str">
        <f t="shared" si="3"/>
        <v/>
      </c>
      <c r="L13" s="28" t="str">
        <f t="shared" si="4"/>
        <v/>
      </c>
      <c r="M13" s="28" t="str">
        <f t="shared" si="5"/>
        <v/>
      </c>
      <c r="N13" s="28" t="str">
        <f t="shared" si="6"/>
        <v/>
      </c>
      <c r="O13" s="28" t="str">
        <f t="shared" si="7"/>
        <v/>
      </c>
      <c r="P13" s="28" t="str">
        <f t="shared" si="8"/>
        <v/>
      </c>
      <c r="Q13" s="28" t="str">
        <f t="shared" si="9"/>
        <v/>
      </c>
      <c r="R13" s="28" t="str">
        <f t="shared" si="10"/>
        <v/>
      </c>
      <c r="S13" s="28" t="str">
        <f t="shared" si="11"/>
        <v>MT</v>
      </c>
      <c r="T13" s="28" t="str">
        <f t="shared" si="12"/>
        <v>MT</v>
      </c>
      <c r="U13" s="29">
        <v>46692</v>
      </c>
      <c r="V13" s="26">
        <v>6</v>
      </c>
      <c r="W13" s="30">
        <f t="shared" si="13"/>
        <v>46650</v>
      </c>
      <c r="X13" s="25" t="s">
        <v>85</v>
      </c>
      <c r="Y13" s="7" t="str">
        <f t="shared" ca="1" si="14"/>
        <v>Còn thời gian</v>
      </c>
      <c r="AO13" t="s">
        <v>88</v>
      </c>
      <c r="AP13" t="s">
        <v>76</v>
      </c>
      <c r="AQ13" t="s">
        <v>34</v>
      </c>
      <c r="AR13">
        <v>11</v>
      </c>
      <c r="AS13">
        <v>12</v>
      </c>
      <c r="AT13">
        <v>180000000</v>
      </c>
      <c r="BI13" s="14">
        <v>46692</v>
      </c>
      <c r="BJ13">
        <v>6</v>
      </c>
      <c r="BL13" t="s">
        <v>85</v>
      </c>
    </row>
    <row r="14" spans="1:64" x14ac:dyDescent="0.35">
      <c r="A14" s="25" t="s">
        <v>89</v>
      </c>
      <c r="B14" s="26" t="s">
        <v>79</v>
      </c>
      <c r="C14" s="25" t="s">
        <v>37</v>
      </c>
      <c r="D14" s="26">
        <v>12</v>
      </c>
      <c r="E14" s="26">
        <v>12</v>
      </c>
      <c r="F14" s="27">
        <v>110000000</v>
      </c>
      <c r="G14" s="27"/>
      <c r="H14" s="18">
        <f t="shared" si="0"/>
        <v>110000000</v>
      </c>
      <c r="I14" s="28" t="str">
        <f t="shared" si="1"/>
        <v/>
      </c>
      <c r="J14" s="28" t="str">
        <f t="shared" si="2"/>
        <v/>
      </c>
      <c r="K14" s="28" t="str">
        <f t="shared" si="3"/>
        <v/>
      </c>
      <c r="L14" s="28" t="str">
        <f t="shared" si="4"/>
        <v/>
      </c>
      <c r="M14" s="28" t="str">
        <f t="shared" si="5"/>
        <v/>
      </c>
      <c r="N14" s="28" t="str">
        <f t="shared" si="6"/>
        <v/>
      </c>
      <c r="O14" s="28" t="str">
        <f t="shared" si="7"/>
        <v/>
      </c>
      <c r="P14" s="28" t="str">
        <f t="shared" si="8"/>
        <v/>
      </c>
      <c r="Q14" s="28" t="str">
        <f t="shared" si="9"/>
        <v/>
      </c>
      <c r="R14" s="28" t="str">
        <f t="shared" si="10"/>
        <v/>
      </c>
      <c r="S14" s="28" t="str">
        <f t="shared" si="11"/>
        <v/>
      </c>
      <c r="T14" s="28" t="str">
        <f t="shared" si="12"/>
        <v>GT</v>
      </c>
      <c r="U14" s="29">
        <v>46722</v>
      </c>
      <c r="V14" s="26">
        <v>5</v>
      </c>
      <c r="W14" s="30">
        <f t="shared" si="13"/>
        <v>46687</v>
      </c>
      <c r="X14" s="25" t="s">
        <v>85</v>
      </c>
      <c r="Y14" s="7" t="str">
        <f t="shared" ca="1" si="14"/>
        <v>Còn thời gian</v>
      </c>
      <c r="AO14" t="s">
        <v>89</v>
      </c>
      <c r="AP14" t="s">
        <v>79</v>
      </c>
      <c r="AQ14" t="s">
        <v>37</v>
      </c>
      <c r="AR14">
        <v>12</v>
      </c>
      <c r="AS14">
        <v>12</v>
      </c>
      <c r="AT14">
        <v>110000000</v>
      </c>
      <c r="BI14" s="14">
        <v>46722</v>
      </c>
      <c r="BJ14">
        <v>5</v>
      </c>
      <c r="BL14" t="s">
        <v>85</v>
      </c>
    </row>
    <row r="15" spans="1:64" x14ac:dyDescent="0.35">
      <c r="A15" s="25"/>
      <c r="B15" s="26"/>
      <c r="C15" s="25"/>
      <c r="D15" s="26"/>
      <c r="E15" s="26"/>
      <c r="F15" s="27"/>
      <c r="G15" s="27"/>
      <c r="H15" s="18" t="str">
        <f t="shared" si="0"/>
        <v/>
      </c>
      <c r="I15" s="28" t="str">
        <f t="shared" si="1"/>
        <v/>
      </c>
      <c r="J15" s="28" t="str">
        <f t="shared" si="2"/>
        <v/>
      </c>
      <c r="K15" s="28" t="str">
        <f t="shared" si="3"/>
        <v/>
      </c>
      <c r="L15" s="28" t="str">
        <f t="shared" si="4"/>
        <v/>
      </c>
      <c r="M15" s="28" t="str">
        <f t="shared" si="5"/>
        <v/>
      </c>
      <c r="N15" s="28" t="str">
        <f t="shared" si="6"/>
        <v/>
      </c>
      <c r="O15" s="28" t="str">
        <f t="shared" si="7"/>
        <v/>
      </c>
      <c r="P15" s="28" t="str">
        <f t="shared" si="8"/>
        <v/>
      </c>
      <c r="Q15" s="28" t="str">
        <f t="shared" si="9"/>
        <v/>
      </c>
      <c r="R15" s="28" t="str">
        <f t="shared" si="10"/>
        <v/>
      </c>
      <c r="S15" s="28" t="str">
        <f t="shared" si="11"/>
        <v/>
      </c>
      <c r="T15" s="28" t="str">
        <f t="shared" si="12"/>
        <v/>
      </c>
      <c r="U15" s="29"/>
      <c r="V15" s="26"/>
      <c r="W15" s="30" t="str">
        <f t="shared" si="13"/>
        <v/>
      </c>
      <c r="X15" s="25"/>
      <c r="Y15" s="7" t="str">
        <f t="shared" si="14"/>
        <v/>
      </c>
    </row>
    <row r="16" spans="1:64" x14ac:dyDescent="0.35">
      <c r="A16" s="25"/>
      <c r="B16" s="26"/>
      <c r="C16" s="25"/>
      <c r="D16" s="26"/>
      <c r="E16" s="26"/>
      <c r="F16" s="27"/>
      <c r="G16" s="27"/>
      <c r="H16" s="18" t="str">
        <f t="shared" si="0"/>
        <v/>
      </c>
      <c r="I16" s="28" t="str">
        <f t="shared" si="1"/>
        <v/>
      </c>
      <c r="J16" s="28" t="str">
        <f t="shared" si="2"/>
        <v/>
      </c>
      <c r="K16" s="28" t="str">
        <f t="shared" si="3"/>
        <v/>
      </c>
      <c r="L16" s="28" t="str">
        <f t="shared" si="4"/>
        <v/>
      </c>
      <c r="M16" s="28" t="str">
        <f t="shared" si="5"/>
        <v/>
      </c>
      <c r="N16" s="28" t="str">
        <f t="shared" si="6"/>
        <v/>
      </c>
      <c r="O16" s="28" t="str">
        <f t="shared" si="7"/>
        <v/>
      </c>
      <c r="P16" s="28" t="str">
        <f t="shared" si="8"/>
        <v/>
      </c>
      <c r="Q16" s="28" t="str">
        <f t="shared" si="9"/>
        <v/>
      </c>
      <c r="R16" s="28" t="str">
        <f t="shared" si="10"/>
        <v/>
      </c>
      <c r="S16" s="28" t="str">
        <f t="shared" si="11"/>
        <v/>
      </c>
      <c r="T16" s="28" t="str">
        <f t="shared" si="12"/>
        <v/>
      </c>
      <c r="U16" s="29"/>
      <c r="V16" s="26"/>
      <c r="W16" s="30" t="str">
        <f t="shared" si="13"/>
        <v/>
      </c>
      <c r="X16" s="25"/>
      <c r="Y16" s="7" t="str">
        <f t="shared" si="14"/>
        <v/>
      </c>
    </row>
    <row r="17" spans="1:25" x14ac:dyDescent="0.35">
      <c r="A17" s="25"/>
      <c r="B17" s="26"/>
      <c r="C17" s="25"/>
      <c r="D17" s="26"/>
      <c r="E17" s="26"/>
      <c r="F17" s="27"/>
      <c r="G17" s="27"/>
      <c r="H17" s="18" t="str">
        <f t="shared" si="0"/>
        <v/>
      </c>
      <c r="I17" s="28" t="str">
        <f t="shared" si="1"/>
        <v/>
      </c>
      <c r="J17" s="28" t="str">
        <f t="shared" si="2"/>
        <v/>
      </c>
      <c r="K17" s="28" t="str">
        <f t="shared" si="3"/>
        <v/>
      </c>
      <c r="L17" s="28" t="str">
        <f t="shared" si="4"/>
        <v/>
      </c>
      <c r="M17" s="28" t="str">
        <f t="shared" si="5"/>
        <v/>
      </c>
      <c r="N17" s="28" t="str">
        <f t="shared" si="6"/>
        <v/>
      </c>
      <c r="O17" s="28" t="str">
        <f t="shared" si="7"/>
        <v/>
      </c>
      <c r="P17" s="28" t="str">
        <f t="shared" si="8"/>
        <v/>
      </c>
      <c r="Q17" s="28" t="str">
        <f t="shared" si="9"/>
        <v/>
      </c>
      <c r="R17" s="28" t="str">
        <f t="shared" si="10"/>
        <v/>
      </c>
      <c r="S17" s="28" t="str">
        <f t="shared" si="11"/>
        <v/>
      </c>
      <c r="T17" s="28" t="str">
        <f t="shared" si="12"/>
        <v/>
      </c>
      <c r="U17" s="29"/>
      <c r="V17" s="26"/>
      <c r="W17" s="30" t="str">
        <f t="shared" si="13"/>
        <v/>
      </c>
      <c r="X17" s="25"/>
      <c r="Y17" s="7" t="str">
        <f t="shared" si="14"/>
        <v/>
      </c>
    </row>
    <row r="18" spans="1:25" x14ac:dyDescent="0.35">
      <c r="A18" s="25"/>
      <c r="B18" s="26"/>
      <c r="C18" s="25"/>
      <c r="D18" s="26"/>
      <c r="E18" s="26"/>
      <c r="F18" s="27"/>
      <c r="G18" s="27"/>
      <c r="H18" s="18" t="str">
        <f t="shared" si="0"/>
        <v/>
      </c>
      <c r="I18" s="28" t="str">
        <f t="shared" si="1"/>
        <v/>
      </c>
      <c r="J18" s="28" t="str">
        <f t="shared" si="2"/>
        <v/>
      </c>
      <c r="K18" s="28" t="str">
        <f t="shared" si="3"/>
        <v/>
      </c>
      <c r="L18" s="28" t="str">
        <f t="shared" si="4"/>
        <v/>
      </c>
      <c r="M18" s="28" t="str">
        <f t="shared" si="5"/>
        <v/>
      </c>
      <c r="N18" s="28" t="str">
        <f t="shared" si="6"/>
        <v/>
      </c>
      <c r="O18" s="28" t="str">
        <f t="shared" si="7"/>
        <v/>
      </c>
      <c r="P18" s="28" t="str">
        <f t="shared" si="8"/>
        <v/>
      </c>
      <c r="Q18" s="28" t="str">
        <f t="shared" si="9"/>
        <v/>
      </c>
      <c r="R18" s="28" t="str">
        <f t="shared" si="10"/>
        <v/>
      </c>
      <c r="S18" s="28" t="str">
        <f t="shared" si="11"/>
        <v/>
      </c>
      <c r="T18" s="28" t="str">
        <f t="shared" si="12"/>
        <v/>
      </c>
      <c r="U18" s="29"/>
      <c r="V18" s="26"/>
      <c r="W18" s="30" t="str">
        <f t="shared" si="13"/>
        <v/>
      </c>
      <c r="X18" s="25"/>
      <c r="Y18" s="7" t="str">
        <f t="shared" si="14"/>
        <v/>
      </c>
    </row>
    <row r="19" spans="1:25" x14ac:dyDescent="0.35">
      <c r="A19" s="25"/>
      <c r="B19" s="26"/>
      <c r="C19" s="25"/>
      <c r="D19" s="26"/>
      <c r="E19" s="26"/>
      <c r="F19" s="27"/>
      <c r="G19" s="27"/>
      <c r="H19" s="18" t="str">
        <f t="shared" si="0"/>
        <v/>
      </c>
      <c r="I19" s="28" t="str">
        <f t="shared" si="1"/>
        <v/>
      </c>
      <c r="J19" s="28" t="str">
        <f t="shared" si="2"/>
        <v/>
      </c>
      <c r="K19" s="28" t="str">
        <f t="shared" si="3"/>
        <v/>
      </c>
      <c r="L19" s="28" t="str">
        <f t="shared" si="4"/>
        <v/>
      </c>
      <c r="M19" s="28" t="str">
        <f t="shared" si="5"/>
        <v/>
      </c>
      <c r="N19" s="28" t="str">
        <f t="shared" si="6"/>
        <v/>
      </c>
      <c r="O19" s="28" t="str">
        <f t="shared" si="7"/>
        <v/>
      </c>
      <c r="P19" s="28" t="str">
        <f t="shared" si="8"/>
        <v/>
      </c>
      <c r="Q19" s="28" t="str">
        <f t="shared" si="9"/>
        <v/>
      </c>
      <c r="R19" s="28" t="str">
        <f t="shared" si="10"/>
        <v/>
      </c>
      <c r="S19" s="28" t="str">
        <f t="shared" si="11"/>
        <v/>
      </c>
      <c r="T19" s="28" t="str">
        <f t="shared" si="12"/>
        <v/>
      </c>
      <c r="U19" s="29"/>
      <c r="V19" s="26"/>
      <c r="W19" s="30" t="str">
        <f t="shared" si="13"/>
        <v/>
      </c>
      <c r="X19" s="25"/>
      <c r="Y19" s="7" t="str">
        <f t="shared" si="14"/>
        <v/>
      </c>
    </row>
    <row r="20" spans="1:25" x14ac:dyDescent="0.35">
      <c r="A20" s="25"/>
      <c r="B20" s="26"/>
      <c r="C20" s="25"/>
      <c r="D20" s="26"/>
      <c r="E20" s="26"/>
      <c r="F20" s="27"/>
      <c r="G20" s="27"/>
      <c r="H20" s="18" t="str">
        <f t="shared" si="0"/>
        <v/>
      </c>
      <c r="I20" s="28" t="str">
        <f t="shared" si="1"/>
        <v/>
      </c>
      <c r="J20" s="28" t="str">
        <f t="shared" si="2"/>
        <v/>
      </c>
      <c r="K20" s="28" t="str">
        <f t="shared" si="3"/>
        <v/>
      </c>
      <c r="L20" s="28" t="str">
        <f t="shared" si="4"/>
        <v/>
      </c>
      <c r="M20" s="28" t="str">
        <f t="shared" si="5"/>
        <v/>
      </c>
      <c r="N20" s="28" t="str">
        <f t="shared" si="6"/>
        <v/>
      </c>
      <c r="O20" s="28" t="str">
        <f t="shared" si="7"/>
        <v/>
      </c>
      <c r="P20" s="28" t="str">
        <f t="shared" si="8"/>
        <v/>
      </c>
      <c r="Q20" s="28" t="str">
        <f t="shared" si="9"/>
        <v/>
      </c>
      <c r="R20" s="28" t="str">
        <f t="shared" si="10"/>
        <v/>
      </c>
      <c r="S20" s="28" t="str">
        <f t="shared" si="11"/>
        <v/>
      </c>
      <c r="T20" s="28" t="str">
        <f t="shared" si="12"/>
        <v/>
      </c>
      <c r="U20" s="29"/>
      <c r="V20" s="26"/>
      <c r="W20" s="30" t="str">
        <f t="shared" si="13"/>
        <v/>
      </c>
      <c r="X20" s="25"/>
      <c r="Y20" s="7" t="str">
        <f t="shared" si="14"/>
        <v/>
      </c>
    </row>
    <row r="21" spans="1:25" x14ac:dyDescent="0.35">
      <c r="A21" s="31" t="s">
        <v>90</v>
      </c>
      <c r="F21" s="32">
        <f>SUM(F6:F20)</f>
        <v>1235000000</v>
      </c>
      <c r="G21" s="32">
        <f>SUM(G6:G20)</f>
        <v>335000000</v>
      </c>
      <c r="H21" s="32">
        <f>SUM(H6:H20)</f>
        <v>900000000</v>
      </c>
    </row>
    <row r="23" spans="1:25" x14ac:dyDescent="0.35">
      <c r="A23" s="49" t="s">
        <v>91</v>
      </c>
      <c r="B23" s="47"/>
      <c r="C23" s="47"/>
      <c r="D23" s="47"/>
      <c r="E23" s="47"/>
      <c r="F23" s="47"/>
      <c r="G23" s="47"/>
    </row>
    <row r="24" spans="1:25" x14ac:dyDescent="0.35">
      <c r="H24" s="17" t="s">
        <v>92</v>
      </c>
      <c r="I24" s="33" t="s">
        <v>58</v>
      </c>
      <c r="J24" s="33" t="s">
        <v>59</v>
      </c>
      <c r="K24" s="33" t="s">
        <v>60</v>
      </c>
      <c r="L24" s="33" t="s">
        <v>61</v>
      </c>
      <c r="M24" s="33" t="s">
        <v>62</v>
      </c>
      <c r="N24" s="33" t="s">
        <v>63</v>
      </c>
      <c r="O24" s="33" t="s">
        <v>64</v>
      </c>
      <c r="P24" s="33" t="s">
        <v>65</v>
      </c>
      <c r="Q24" s="33" t="s">
        <v>66</v>
      </c>
      <c r="R24" s="33" t="s">
        <v>67</v>
      </c>
      <c r="S24" s="33" t="s">
        <v>68</v>
      </c>
      <c r="T24" s="33" t="s">
        <v>69</v>
      </c>
    </row>
    <row r="25" spans="1:25" x14ac:dyDescent="0.35">
      <c r="H25" s="34" t="s">
        <v>93</v>
      </c>
      <c r="I25" s="35">
        <f>SUMPRODUCT(($B$6:$B$20="MT")*($D$6:$D$20&lt;=1)*($E$6:$E$20&gt;=1)*($F$6:$F$20)/(ABS($E$6:$E$20-$D$6:$D$20)+1))</f>
        <v>70000000</v>
      </c>
      <c r="J25" s="35">
        <f>SUMPRODUCT(($B$6:$B$20="MT")*($D$6:$D$20&lt;=2)*($E$6:$E$20&gt;=2)*($F$6:$F$20)/(ABS($E$6:$E$20-$D$6:$D$20)+1))</f>
        <v>70000000</v>
      </c>
      <c r="K25" s="35">
        <f>SUMPRODUCT(($B$6:$B$20="MT")*($D$6:$D$20&lt;=3)*($E$6:$E$20&gt;=3)*($F$6:$F$20)/(ABS($E$6:$E$20-$D$6:$D$20)+1))</f>
        <v>94100000</v>
      </c>
      <c r="L25" s="35">
        <f>SUMPRODUCT(($B$6:$B$20="MT")*($D$6:$D$20&lt;=4)*($E$6:$E$20&gt;=4)*($F$6:$F$20)/(ABS($E$6:$E$20-$D$6:$D$20)+1))</f>
        <v>0</v>
      </c>
      <c r="M25" s="35">
        <f>SUMPRODUCT(($B$6:$B$20="MT")*($D$6:$D$20&lt;=5)*($E$6:$E$20&gt;=5)*($F$6:$F$20)/(ABS($E$6:$E$20-$D$6:$D$20)+1))</f>
        <v>73333333.333333328</v>
      </c>
      <c r="N25" s="35">
        <f>SUMPRODUCT(($B$6:$B$20="MT")*($D$6:$D$20&lt;=6)*($E$6:$E$20&gt;=6)*($F$6:$F$20)/(ABS($E$6:$E$20-$D$6:$D$20)+1))</f>
        <v>73333333.333333328</v>
      </c>
      <c r="O25" s="35">
        <f>SUMPRODUCT(($B$6:$B$20="MT")*($D$6:$D$20&lt;=7)*($E$6:$E$20&gt;=7)*($F$6:$F$20)/(ABS($E$6:$E$20-$D$6:$D$20)+1))</f>
        <v>73333333.333333328</v>
      </c>
      <c r="P25" s="35">
        <f>SUMPRODUCT(($B$6:$B$20="MT")*($D$6:$D$20&lt;=8)*($E$6:$E$20&gt;=8)*($F$6:$F$20)/(ABS($E$6:$E$20-$D$6:$D$20)+1))</f>
        <v>112950000</v>
      </c>
      <c r="Q25" s="35">
        <f>SUMPRODUCT(($B$6:$B$20="MT")*($D$6:$D$20&lt;=9)*($E$6:$E$20&gt;=9)*($F$6:$F$20)/(ABS($E$6:$E$20-$D$6:$D$20)+1))</f>
        <v>112950000</v>
      </c>
      <c r="R25" s="35">
        <f>SUMPRODUCT(($B$6:$B$20="MT")*($D$6:$D$20&lt;=10)*($E$6:$E$20&gt;=10)*($F$6:$F$20)/(ABS($E$6:$E$20-$D$6:$D$20)+1))</f>
        <v>0</v>
      </c>
      <c r="S25" s="35">
        <f>SUMPRODUCT(($B$6:$B$20="MT")*($D$6:$D$20&lt;=11)*($E$6:$E$20&gt;=11)*($F$6:$F$20)/(ABS($E$6:$E$20-$D$6:$D$20)+1))</f>
        <v>90000000</v>
      </c>
      <c r="T25" s="35">
        <f>SUMPRODUCT(($B$6:$B$20="MT")*($D$6:$D$20&lt;=12)*($E$6:$E$20&gt;=12)*($F$6:$F$20)/(ABS($E$6:$E$20-$D$6:$D$20)+1))</f>
        <v>90000000</v>
      </c>
    </row>
    <row r="26" spans="1:25" x14ac:dyDescent="0.35">
      <c r="H26" s="34" t="s">
        <v>94</v>
      </c>
      <c r="I26" s="35">
        <f>SUMPRODUCT(($B$6:$B$20="GT")*($D$6:$D$20&lt;=1)*($E$6:$E$20&gt;=1)*($F$6:$F$20)/(ABS($E$6:$E$20-$D$6:$D$20)+1))</f>
        <v>55000000</v>
      </c>
      <c r="J26" s="35">
        <f>SUMPRODUCT(($B$6:$B$20="GT")*($D$6:$D$20&lt;=2)*($E$6:$E$20&gt;=2)*($F$6:$F$20)/(ABS($E$6:$E$20-$D$6:$D$20)+1))</f>
        <v>55000000</v>
      </c>
      <c r="K26" s="35">
        <f>SUMPRODUCT(($B$6:$B$20="GT")*($D$6:$D$20&lt;=3)*($E$6:$E$20&gt;=3)*($F$6:$F$20)/(ABS($E$6:$E$20-$D$6:$D$20)+1))</f>
        <v>0</v>
      </c>
      <c r="L26" s="35">
        <f>SUMPRODUCT(($B$6:$B$20="GT")*($D$6:$D$20&lt;=4)*($E$6:$E$20&gt;=4)*($F$6:$F$20)/(ABS($E$6:$E$20-$D$6:$D$20)+1))</f>
        <v>21666666.666666668</v>
      </c>
      <c r="M26" s="35">
        <f>SUMPRODUCT(($B$6:$B$20="GT")*($D$6:$D$20&lt;=5)*($E$6:$E$20&gt;=5)*($F$6:$F$20)/(ABS($E$6:$E$20-$D$6:$D$20)+1))</f>
        <v>21666666.666666668</v>
      </c>
      <c r="N26" s="35">
        <f>SUMPRODUCT(($B$6:$B$20="GT")*($D$6:$D$20&lt;=6)*($E$6:$E$20&gt;=6)*($F$6:$F$20)/(ABS($E$6:$E$20-$D$6:$D$20)+1))</f>
        <v>21666666.666666668</v>
      </c>
      <c r="O26" s="35">
        <f>SUMPRODUCT(($B$6:$B$20="GT")*($D$6:$D$20&lt;=7)*($E$6:$E$20&gt;=7)*($F$6:$F$20)/(ABS($E$6:$E$20-$D$6:$D$20)+1))</f>
        <v>0</v>
      </c>
      <c r="P26" s="35">
        <f>SUMPRODUCT(($B$6:$B$20="GT")*($D$6:$D$20&lt;=8)*($E$6:$E$20&gt;=8)*($F$6:$F$20)/(ABS($E$6:$E$20-$D$6:$D$20)+1))</f>
        <v>45000000</v>
      </c>
      <c r="Q26" s="35">
        <f>SUMPRODUCT(($B$6:$B$20="GT")*($D$6:$D$20&lt;=9)*($E$6:$E$20&gt;=9)*($F$6:$F$20)/(ABS($E$6:$E$20-$D$6:$D$20)+1))</f>
        <v>45000000</v>
      </c>
      <c r="R26" s="35">
        <f>SUMPRODUCT(($B$6:$B$20="GT")*($D$6:$D$20&lt;=10)*($E$6:$E$20&gt;=10)*($F$6:$F$20)/(ABS($E$6:$E$20-$D$6:$D$20)+1))</f>
        <v>0</v>
      </c>
      <c r="S26" s="35">
        <f>SUMPRODUCT(($B$6:$B$20="GT")*($D$6:$D$20&lt;=11)*($E$6:$E$20&gt;=11)*($F$6:$F$20)/(ABS($E$6:$E$20-$D$6:$D$20)+1))</f>
        <v>0</v>
      </c>
      <c r="T26" s="35">
        <f>SUMPRODUCT(($B$6:$B$20="GT")*($D$6:$D$20&lt;=12)*($E$6:$E$20&gt;=12)*($F$6:$F$20)/(ABS($E$6:$E$20-$D$6:$D$20)+1))</f>
        <v>110000000</v>
      </c>
    </row>
    <row r="28" spans="1:25" x14ac:dyDescent="0.35">
      <c r="A28" s="20" t="s">
        <v>45</v>
      </c>
    </row>
  </sheetData>
  <sheetProtection sheet="1" formatCells="0" formatColumns="0" formatRows="0" insertRows="0" deleteRows="0"/>
  <mergeCells count="1">
    <mergeCell ref="A23:G23"/>
  </mergeCells>
  <conditionalFormatting sqref="A6:G20">
    <cfRule type="expression" dxfId="39" priority="11">
      <formula>AND(A6&lt;&gt;"",AO6&lt;&gt;"",A6=AO6)</formula>
    </cfRule>
  </conditionalFormatting>
  <conditionalFormatting sqref="G6:G20">
    <cfRule type="expression" dxfId="38" priority="10">
      <formula>AND(ISNUMBER(G6),ISNUMBER(F6),G6&gt;F6)</formula>
    </cfRule>
  </conditionalFormatting>
  <conditionalFormatting sqref="H6:H20">
    <cfRule type="expression" dxfId="37" priority="9">
      <formula>AND(ISNUMBER(H6),H6&lt;0)</formula>
    </cfRule>
  </conditionalFormatting>
  <conditionalFormatting sqref="I6:T20">
    <cfRule type="expression" dxfId="36" priority="1">
      <formula>I6="MT"</formula>
    </cfRule>
    <cfRule type="expression" dxfId="35" priority="2">
      <formula>I6="GT"</formula>
    </cfRule>
  </conditionalFormatting>
  <conditionalFormatting sqref="U6:V20">
    <cfRule type="expression" dxfId="34" priority="12">
      <formula>AND(U6&lt;&gt;"",BI6&lt;&gt;"",U6=BI6)</formula>
    </cfRule>
  </conditionalFormatting>
  <conditionalFormatting sqref="W6:W20">
    <cfRule type="expression" dxfId="33" priority="4">
      <formula>$Y6="Trễ hạn chốt"</formula>
    </cfRule>
    <cfRule type="expression" dxfId="32" priority="6">
      <formula>$Y6="Gấp (≤ 14 ngày)"</formula>
    </cfRule>
    <cfRule type="expression" dxfId="31" priority="8">
      <formula>$Y6="Đã chốt"</formula>
    </cfRule>
  </conditionalFormatting>
  <conditionalFormatting sqref="X6:X20">
    <cfRule type="expression" dxfId="30" priority="13">
      <formula>AND(X6&lt;&gt;"",BL6&lt;&gt;"",X6=BL6)</formula>
    </cfRule>
  </conditionalFormatting>
  <conditionalFormatting sqref="Y6:Y20">
    <cfRule type="expression" dxfId="29" priority="3">
      <formula>$Y6="Trễ hạn chốt"</formula>
    </cfRule>
    <cfRule type="expression" dxfId="28" priority="5">
      <formula>$Y6="Gấp (≤ 14 ngày)"</formula>
    </cfRule>
    <cfRule type="expression" dxfId="27" priority="7">
      <formula>$Y6="Đã chốt"</formula>
    </cfRule>
  </conditionalFormatting>
  <dataValidations count="1">
    <dataValidation type="decimal" operator="greaterThanOrEqual" allowBlank="1" showInputMessage="1" showErrorMessage="1" errorTitle="Cần nhập số" error="Ô này chỉ nhận số từ 0 trở lên." promptTitle="Ngân sách" prompt="Số tiền chưa VAT, đơn vị đồng. Thực chi: để trống nếu chưa chi." sqref="F6:G20" xr:uid="{00000000-0002-0000-0100-000004000000}">
      <formula1>0</formula1>
    </dataValidation>
  </dataValidations>
  <printOptions horizontalCentered="1"/>
  <pageMargins left="0.4" right="0.4" top="0.5" bottom="0.6" header="0.5" footer="0.5"/>
  <pageSetup paperSize="9" fitToHeight="0" orientation="landscape"/>
  <headerFooter>
    <oddHeader>&amp;L&amp;9 &amp;K808080&amp;A</oddHeader>
    <oddFooter>&amp;C&amp;8 &amp;K808080Mẫu của A.M Agency – amagency.vn</oddFoot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Title="Giá trị không có trong danh sách" error="Chọn một giá trị trong danh sách." promptTitle="Kênh" prompt="Bấm mũi tên để chọn." xr:uid="{00000000-0002-0000-0100-000000000000}">
          <x14:formula1>
            <xm:f>'Danh mục'!$A$5:$A$6</xm:f>
          </x14:formula1>
          <xm:sqref>B6:B20</xm:sqref>
        </x14:dataValidation>
        <x14:dataValidation type="list" allowBlank="1" showInputMessage="1" showErrorMessage="1" errorTitle="Giá trị không có trong danh sách" error="Chọn một giá trị trong danh sách." promptTitle="Loại chương trình" prompt="Bấm mũi tên để chọn." xr:uid="{00000000-0002-0000-0100-000001000000}">
          <x14:formula1>
            <xm:f>'Danh mục'!$B$5:$B$8</xm:f>
          </x14:formula1>
          <xm:sqref>C6:C20</xm:sqref>
        </x14:dataValidation>
        <x14:dataValidation type="list" allowBlank="1" showInputMessage="1" showErrorMessage="1" errorTitle="Giá trị không có trong danh sách" error="Chọn một giá trị trong danh sách." promptTitle="Tháng (1-12)" prompt="Bấm mũi tên để chọn." xr:uid="{00000000-0002-0000-0100-000002000000}">
          <x14:formula1>
            <xm:f>'Danh mục'!$I$5:$I$16</xm:f>
          </x14:formula1>
          <xm:sqref>D6:E20</xm:sqref>
        </x14:dataValidation>
        <x14:dataValidation type="list" allowBlank="1" showInputMessage="1" showErrorMessage="1" errorTitle="Giá trị không có trong danh sách" error="Chọn một giá trị trong danh sách." promptTitle="Trạng thái" prompt="Bấm mũi tên để chọn." xr:uid="{00000000-0002-0000-0100-000003000000}">
          <x14:formula1>
            <xm:f>'Danh mục'!$D$5:$D$9</xm:f>
          </x14:formula1>
          <xm:sqref>X6:X20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6100"/>
    <pageSetUpPr fitToPage="1"/>
  </sheetPr>
  <dimension ref="A1:BC46"/>
  <sheetViews>
    <sheetView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4.5" x14ac:dyDescent="0.35"/>
  <cols>
    <col min="1" max="1" width="30" customWidth="1"/>
    <col min="2" max="2" width="9" customWidth="1"/>
    <col min="3" max="3" width="11" customWidth="1"/>
    <col min="4" max="15" width="8.453125" customWidth="1"/>
    <col min="16" max="16" width="11" customWidth="1"/>
    <col min="17" max="17" width="12" customWidth="1"/>
    <col min="41" max="55" width="13" hidden="1" customWidth="1"/>
  </cols>
  <sheetData>
    <row r="1" spans="1:55" ht="28" customHeight="1" x14ac:dyDescent="0.35">
      <c r="A1" s="21" t="s">
        <v>95</v>
      </c>
      <c r="AO1">
        <f>SUMPRODUCT((D6:O6&lt;&gt;"")*(AR6:BC6&lt;&gt;"")*(D6:O6=AR6:BC6))+SUMPRODUCT((D9:O9&lt;&gt;"")*(AR9:BC9&lt;&gt;"")*(D9:O9=AR9:BC9))+SUMPRODUCT((D12:O12&lt;&gt;"")*(AR12:BC12&lt;&gt;"")*(D12:O12=AR12:BC12))+SUMPRODUCT((D15:O15&lt;&gt;"")*(AR15:BC15&lt;&gt;"")*(D15:O15=AR15:BC15))+SUMPRODUCT((D7:O7&lt;&gt;"")*(AR7:BC7&lt;&gt;"")*(D7:O7=AR7:BC7))+SUMPRODUCT((D10:O10&lt;&gt;"")*(AR10:BC10&lt;&gt;"")*(D10:O10=AR10:BC10))+SUMPRODUCT((D13:O13&lt;&gt;"")*(AR13:BC13&lt;&gt;"")*(D13:O13=AR13:BC13))+SUMPRODUCT((D16:O16&lt;&gt;"")*(AR16:BC16&lt;&gt;"")*(D16:O16=AR16:BC16))+SUMPRODUCT((A36:A36&lt;&gt;"")*(AO36:AO36&lt;&gt;"")*(A36:A36=AO36:AO36))+SUMPRODUCT((A40:A44&lt;&gt;"")*(AO40:AO44&lt;&gt;"")*(A40:A44=AO40:AO44))+SUMPRODUCT((K40:K44&lt;&gt;"")*(AY40:AY44&lt;&gt;"")*(K40:K44=AY40:AY44))+SUMPRODUCT((N40:N44&lt;&gt;"")*(BB40:BB44&lt;&gt;"")*(N40:N44=BB40:BB44))</f>
        <v>73</v>
      </c>
    </row>
    <row r="2" spans="1:55" x14ac:dyDescent="0.35">
      <c r="A2" s="22" t="s">
        <v>96</v>
      </c>
    </row>
    <row r="5" spans="1:55" ht="36" customHeight="1" x14ac:dyDescent="0.35">
      <c r="A5" s="24" t="s">
        <v>97</v>
      </c>
      <c r="B5" s="24" t="s">
        <v>98</v>
      </c>
      <c r="C5" s="24" t="s">
        <v>99</v>
      </c>
      <c r="D5" s="24" t="s">
        <v>58</v>
      </c>
      <c r="E5" s="24" t="s">
        <v>59</v>
      </c>
      <c r="F5" s="24" t="s">
        <v>60</v>
      </c>
      <c r="G5" s="24" t="s">
        <v>61</v>
      </c>
      <c r="H5" s="24" t="s">
        <v>62</v>
      </c>
      <c r="I5" s="24" t="s">
        <v>63</v>
      </c>
      <c r="J5" s="24" t="s">
        <v>64</v>
      </c>
      <c r="K5" s="24" t="s">
        <v>65</v>
      </c>
      <c r="L5" s="24" t="s">
        <v>66</v>
      </c>
      <c r="M5" s="24" t="s">
        <v>67</v>
      </c>
      <c r="N5" s="24" t="s">
        <v>68</v>
      </c>
      <c r="O5" s="24" t="s">
        <v>69</v>
      </c>
      <c r="P5" s="24" t="s">
        <v>100</v>
      </c>
      <c r="Q5" s="24" t="s">
        <v>73</v>
      </c>
    </row>
    <row r="6" spans="1:55" x14ac:dyDescent="0.35">
      <c r="A6" s="53" t="s">
        <v>101</v>
      </c>
      <c r="B6" s="58" t="s">
        <v>102</v>
      </c>
      <c r="C6" s="36" t="s">
        <v>103</v>
      </c>
      <c r="D6" s="37">
        <v>0.68</v>
      </c>
      <c r="E6" s="37">
        <v>0.69</v>
      </c>
      <c r="F6" s="37">
        <v>0.7</v>
      </c>
      <c r="G6" s="37">
        <v>0.72</v>
      </c>
      <c r="H6" s="37">
        <v>0.74</v>
      </c>
      <c r="I6" s="37">
        <v>0.75</v>
      </c>
      <c r="J6" s="37">
        <v>0.77</v>
      </c>
      <c r="K6" s="37">
        <v>0.78</v>
      </c>
      <c r="L6" s="37">
        <v>0.8</v>
      </c>
      <c r="M6" s="37">
        <v>0.81</v>
      </c>
      <c r="N6" s="37">
        <v>0.82</v>
      </c>
      <c r="O6" s="37">
        <v>0.83</v>
      </c>
      <c r="AR6">
        <v>0.68</v>
      </c>
      <c r="AS6">
        <v>0.69</v>
      </c>
      <c r="AT6">
        <v>0.7</v>
      </c>
      <c r="AU6">
        <v>0.72</v>
      </c>
      <c r="AV6">
        <v>0.74</v>
      </c>
      <c r="AW6">
        <v>0.75</v>
      </c>
      <c r="AX6">
        <v>0.77</v>
      </c>
      <c r="AY6">
        <v>0.78</v>
      </c>
      <c r="AZ6">
        <v>0.8</v>
      </c>
      <c r="BA6">
        <v>0.81</v>
      </c>
      <c r="BB6">
        <v>0.82</v>
      </c>
      <c r="BC6">
        <v>0.83</v>
      </c>
    </row>
    <row r="7" spans="1:55" x14ac:dyDescent="0.35">
      <c r="A7" s="54"/>
      <c r="B7" s="54"/>
      <c r="C7" s="36" t="s">
        <v>104</v>
      </c>
      <c r="D7" s="37">
        <v>0.67</v>
      </c>
      <c r="E7" s="37">
        <v>0.7</v>
      </c>
      <c r="F7" s="37">
        <v>0.71</v>
      </c>
      <c r="G7" s="37"/>
      <c r="H7" s="37"/>
      <c r="I7" s="37"/>
      <c r="J7" s="37"/>
      <c r="K7" s="37"/>
      <c r="L7" s="37"/>
      <c r="M7" s="37"/>
      <c r="N7" s="37"/>
      <c r="O7" s="37"/>
      <c r="AR7">
        <v>0.67</v>
      </c>
      <c r="AS7">
        <v>0.7</v>
      </c>
      <c r="AT7">
        <v>0.71</v>
      </c>
    </row>
    <row r="8" spans="1:55" x14ac:dyDescent="0.35">
      <c r="A8" s="55"/>
      <c r="B8" s="55"/>
      <c r="C8" s="34" t="s">
        <v>105</v>
      </c>
      <c r="D8" s="38">
        <f t="shared" ref="D8:O8" si="0">IF(OR(D7="",D6="",D6=0),"",D7/D6)</f>
        <v>0.98529411764705876</v>
      </c>
      <c r="E8" s="38">
        <f t="shared" si="0"/>
        <v>1.0144927536231885</v>
      </c>
      <c r="F8" s="38">
        <f t="shared" si="0"/>
        <v>1.0142857142857142</v>
      </c>
      <c r="G8" s="38" t="str">
        <f t="shared" si="0"/>
        <v/>
      </c>
      <c r="H8" s="38" t="str">
        <f t="shared" si="0"/>
        <v/>
      </c>
      <c r="I8" s="38" t="str">
        <f t="shared" si="0"/>
        <v/>
      </c>
      <c r="J8" s="38" t="str">
        <f t="shared" si="0"/>
        <v/>
      </c>
      <c r="K8" s="38" t="str">
        <f t="shared" si="0"/>
        <v/>
      </c>
      <c r="L8" s="38" t="str">
        <f t="shared" si="0"/>
        <v/>
      </c>
      <c r="M8" s="38" t="str">
        <f t="shared" si="0"/>
        <v/>
      </c>
      <c r="N8" s="38" t="str">
        <f t="shared" si="0"/>
        <v/>
      </c>
      <c r="O8" s="38" t="str">
        <f t="shared" si="0"/>
        <v/>
      </c>
      <c r="P8" s="39">
        <f>INDEX(D8:O8,THANG_BC)</f>
        <v>1.0142857142857142</v>
      </c>
      <c r="Q8" s="40" t="str">
        <f>IF(P8="","Chưa có số",IF(P8&gt;=1,"Đạt",IF(P8&gt;=0.8,"Gần đạt","Chưa đạt")))</f>
        <v>Đạt</v>
      </c>
    </row>
    <row r="9" spans="1:55" x14ac:dyDescent="0.35">
      <c r="A9" s="53" t="s">
        <v>106</v>
      </c>
      <c r="B9" s="58" t="s">
        <v>102</v>
      </c>
      <c r="C9" s="36" t="s">
        <v>103</v>
      </c>
      <c r="D9" s="37">
        <v>0.8</v>
      </c>
      <c r="E9" s="37">
        <v>0.8</v>
      </c>
      <c r="F9" s="37">
        <v>0.8</v>
      </c>
      <c r="G9" s="37">
        <v>0.82</v>
      </c>
      <c r="H9" s="37">
        <v>0.82</v>
      </c>
      <c r="I9" s="37">
        <v>0.85</v>
      </c>
      <c r="J9" s="37">
        <v>0.85</v>
      </c>
      <c r="K9" s="37">
        <v>0.85</v>
      </c>
      <c r="L9" s="37">
        <v>0.85</v>
      </c>
      <c r="M9" s="37">
        <v>0.85</v>
      </c>
      <c r="N9" s="37">
        <v>0.88</v>
      </c>
      <c r="O9" s="37">
        <v>0.88</v>
      </c>
      <c r="AR9">
        <v>0.8</v>
      </c>
      <c r="AS9">
        <v>0.8</v>
      </c>
      <c r="AT9">
        <v>0.8</v>
      </c>
      <c r="AU9">
        <v>0.82</v>
      </c>
      <c r="AV9">
        <v>0.82</v>
      </c>
      <c r="AW9">
        <v>0.85</v>
      </c>
      <c r="AX9">
        <v>0.85</v>
      </c>
      <c r="AY9">
        <v>0.85</v>
      </c>
      <c r="AZ9">
        <v>0.85</v>
      </c>
      <c r="BA9">
        <v>0.85</v>
      </c>
      <c r="BB9">
        <v>0.88</v>
      </c>
      <c r="BC9">
        <v>0.88</v>
      </c>
    </row>
    <row r="10" spans="1:55" x14ac:dyDescent="0.35">
      <c r="A10" s="54"/>
      <c r="B10" s="54"/>
      <c r="C10" s="36" t="s">
        <v>104</v>
      </c>
      <c r="D10" s="37">
        <v>0.78</v>
      </c>
      <c r="E10" s="37">
        <v>0.83</v>
      </c>
      <c r="F10" s="37">
        <v>0.62</v>
      </c>
      <c r="G10" s="37"/>
      <c r="H10" s="37"/>
      <c r="I10" s="37"/>
      <c r="J10" s="37"/>
      <c r="K10" s="37"/>
      <c r="L10" s="37"/>
      <c r="M10" s="37"/>
      <c r="N10" s="37"/>
      <c r="O10" s="37"/>
      <c r="AR10">
        <v>0.78</v>
      </c>
      <c r="AS10">
        <v>0.83</v>
      </c>
      <c r="AT10">
        <v>0.62</v>
      </c>
    </row>
    <row r="11" spans="1:55" x14ac:dyDescent="0.35">
      <c r="A11" s="55"/>
      <c r="B11" s="55"/>
      <c r="C11" s="34" t="s">
        <v>105</v>
      </c>
      <c r="D11" s="38">
        <f t="shared" ref="D11:O11" si="1">IF(OR(D10="",D9="",D9=0),"",D10/D9)</f>
        <v>0.97499999999999998</v>
      </c>
      <c r="E11" s="38">
        <f t="shared" si="1"/>
        <v>1.0374999999999999</v>
      </c>
      <c r="F11" s="38">
        <f t="shared" si="1"/>
        <v>0.77499999999999991</v>
      </c>
      <c r="G11" s="38" t="str">
        <f t="shared" si="1"/>
        <v/>
      </c>
      <c r="H11" s="38" t="str">
        <f t="shared" si="1"/>
        <v/>
      </c>
      <c r="I11" s="38" t="str">
        <f t="shared" si="1"/>
        <v/>
      </c>
      <c r="J11" s="38" t="str">
        <f t="shared" si="1"/>
        <v/>
      </c>
      <c r="K11" s="38" t="str">
        <f t="shared" si="1"/>
        <v/>
      </c>
      <c r="L11" s="38" t="str">
        <f t="shared" si="1"/>
        <v/>
      </c>
      <c r="M11" s="38" t="str">
        <f t="shared" si="1"/>
        <v/>
      </c>
      <c r="N11" s="38" t="str">
        <f t="shared" si="1"/>
        <v/>
      </c>
      <c r="O11" s="38" t="str">
        <f t="shared" si="1"/>
        <v/>
      </c>
      <c r="P11" s="39">
        <f>INDEX(D11:O11,THANG_BC)</f>
        <v>0.77499999999999991</v>
      </c>
      <c r="Q11" s="40" t="str">
        <f>IF(P11="","Chưa có số",IF(P11&gt;=1,"Đạt",IF(P11&gt;=0.8,"Gần đạt","Chưa đạt")))</f>
        <v>Chưa đạt</v>
      </c>
    </row>
    <row r="12" spans="1:55" x14ac:dyDescent="0.35">
      <c r="A12" s="53" t="s">
        <v>107</v>
      </c>
      <c r="B12" s="58" t="s">
        <v>108</v>
      </c>
      <c r="C12" s="36" t="s">
        <v>103</v>
      </c>
      <c r="D12" s="27">
        <v>0</v>
      </c>
      <c r="E12" s="27">
        <v>0</v>
      </c>
      <c r="F12" s="27">
        <v>16</v>
      </c>
      <c r="G12" s="27">
        <v>0</v>
      </c>
      <c r="H12" s="27">
        <v>0</v>
      </c>
      <c r="I12" s="27">
        <v>0</v>
      </c>
      <c r="J12" s="27">
        <v>0</v>
      </c>
      <c r="K12" s="27">
        <v>20</v>
      </c>
      <c r="L12" s="27">
        <v>8</v>
      </c>
      <c r="M12" s="27">
        <v>0</v>
      </c>
      <c r="N12" s="27">
        <v>0</v>
      </c>
      <c r="O12" s="27">
        <v>0</v>
      </c>
      <c r="AR12">
        <v>0</v>
      </c>
      <c r="AS12">
        <v>0</v>
      </c>
      <c r="AT12">
        <v>16</v>
      </c>
      <c r="AU12">
        <v>0</v>
      </c>
      <c r="AV12">
        <v>0</v>
      </c>
      <c r="AW12">
        <v>0</v>
      </c>
      <c r="AX12">
        <v>0</v>
      </c>
      <c r="AY12">
        <v>20</v>
      </c>
      <c r="AZ12">
        <v>8</v>
      </c>
      <c r="BA12">
        <v>0</v>
      </c>
      <c r="BB12">
        <v>0</v>
      </c>
      <c r="BC12">
        <v>0</v>
      </c>
    </row>
    <row r="13" spans="1:55" x14ac:dyDescent="0.35">
      <c r="A13" s="54"/>
      <c r="B13" s="54"/>
      <c r="C13" s="36" t="s">
        <v>104</v>
      </c>
      <c r="D13" s="27">
        <v>0</v>
      </c>
      <c r="E13" s="27">
        <v>0</v>
      </c>
      <c r="F13" s="27">
        <v>14</v>
      </c>
      <c r="G13" s="27"/>
      <c r="H13" s="27"/>
      <c r="I13" s="27"/>
      <c r="J13" s="27"/>
      <c r="K13" s="27"/>
      <c r="L13" s="27"/>
      <c r="M13" s="27"/>
      <c r="N13" s="27"/>
      <c r="O13" s="27"/>
      <c r="AR13">
        <v>0</v>
      </c>
      <c r="AS13">
        <v>0</v>
      </c>
      <c r="AT13">
        <v>14</v>
      </c>
    </row>
    <row r="14" spans="1:55" x14ac:dyDescent="0.35">
      <c r="A14" s="55"/>
      <c r="B14" s="55"/>
      <c r="C14" s="34" t="s">
        <v>105</v>
      </c>
      <c r="D14" s="38" t="str">
        <f t="shared" ref="D14:O14" si="2">IF(OR(D13="",D12="",D12=0),"",D13/D12)</f>
        <v/>
      </c>
      <c r="E14" s="38" t="str">
        <f t="shared" si="2"/>
        <v/>
      </c>
      <c r="F14" s="38">
        <f t="shared" si="2"/>
        <v>0.875</v>
      </c>
      <c r="G14" s="38" t="str">
        <f t="shared" si="2"/>
        <v/>
      </c>
      <c r="H14" s="38" t="str">
        <f t="shared" si="2"/>
        <v/>
      </c>
      <c r="I14" s="38" t="str">
        <f t="shared" si="2"/>
        <v/>
      </c>
      <c r="J14" s="38" t="str">
        <f t="shared" si="2"/>
        <v/>
      </c>
      <c r="K14" s="38" t="str">
        <f t="shared" si="2"/>
        <v/>
      </c>
      <c r="L14" s="38" t="str">
        <f t="shared" si="2"/>
        <v/>
      </c>
      <c r="M14" s="38" t="str">
        <f t="shared" si="2"/>
        <v/>
      </c>
      <c r="N14" s="38" t="str">
        <f t="shared" si="2"/>
        <v/>
      </c>
      <c r="O14" s="38" t="str">
        <f t="shared" si="2"/>
        <v/>
      </c>
      <c r="P14" s="39">
        <f>INDEX(D14:O14,THANG_BC)</f>
        <v>0.875</v>
      </c>
      <c r="Q14" s="40" t="str">
        <f>IF(P14="","Chưa có số",IF(P14&gt;=1,"Đạt",IF(P14&gt;=0.8,"Gần đạt","Chưa đạt")))</f>
        <v>Gần đạt</v>
      </c>
    </row>
    <row r="15" spans="1:55" x14ac:dyDescent="0.35">
      <c r="A15" s="53" t="s">
        <v>109</v>
      </c>
      <c r="B15" s="58" t="s">
        <v>110</v>
      </c>
      <c r="C15" s="36" t="s">
        <v>103</v>
      </c>
      <c r="D15" s="27">
        <v>12000</v>
      </c>
      <c r="E15" s="27">
        <v>15000</v>
      </c>
      <c r="F15" s="27">
        <v>8000</v>
      </c>
      <c r="G15" s="27">
        <v>7500</v>
      </c>
      <c r="H15" s="27">
        <v>8000</v>
      </c>
      <c r="I15" s="27">
        <v>8500</v>
      </c>
      <c r="J15" s="27">
        <v>8500</v>
      </c>
      <c r="K15" s="27">
        <v>9000</v>
      </c>
      <c r="L15" s="27">
        <v>11000</v>
      </c>
      <c r="M15" s="27">
        <v>8500</v>
      </c>
      <c r="N15" s="27">
        <v>10000</v>
      </c>
      <c r="O15" s="27">
        <v>13000</v>
      </c>
      <c r="AR15">
        <v>12000</v>
      </c>
      <c r="AS15">
        <v>15000</v>
      </c>
      <c r="AT15">
        <v>8000</v>
      </c>
      <c r="AU15">
        <v>7500</v>
      </c>
      <c r="AV15">
        <v>8000</v>
      </c>
      <c r="AW15">
        <v>8500</v>
      </c>
      <c r="AX15">
        <v>8500</v>
      </c>
      <c r="AY15">
        <v>9000</v>
      </c>
      <c r="AZ15">
        <v>11000</v>
      </c>
      <c r="BA15">
        <v>8500</v>
      </c>
      <c r="BB15">
        <v>10000</v>
      </c>
      <c r="BC15">
        <v>13000</v>
      </c>
    </row>
    <row r="16" spans="1:55" x14ac:dyDescent="0.35">
      <c r="A16" s="54"/>
      <c r="B16" s="54"/>
      <c r="C16" s="36" t="s">
        <v>104</v>
      </c>
      <c r="D16" s="27">
        <v>12600</v>
      </c>
      <c r="E16" s="27">
        <v>15900</v>
      </c>
      <c r="F16" s="27">
        <v>8350</v>
      </c>
      <c r="G16" s="27"/>
      <c r="H16" s="27"/>
      <c r="I16" s="27"/>
      <c r="J16" s="27"/>
      <c r="K16" s="27"/>
      <c r="L16" s="27"/>
      <c r="M16" s="27"/>
      <c r="N16" s="27"/>
      <c r="O16" s="27"/>
      <c r="AR16">
        <v>12600</v>
      </c>
      <c r="AS16">
        <v>15900</v>
      </c>
      <c r="AT16">
        <v>8350</v>
      </c>
    </row>
    <row r="17" spans="1:17" x14ac:dyDescent="0.35">
      <c r="A17" s="55"/>
      <c r="B17" s="55"/>
      <c r="C17" s="34" t="s">
        <v>105</v>
      </c>
      <c r="D17" s="38">
        <f t="shared" ref="D17:O17" si="3">IF(OR(D16="",D15="",D15=0),"",D16/D15)</f>
        <v>1.05</v>
      </c>
      <c r="E17" s="38">
        <f t="shared" si="3"/>
        <v>1.06</v>
      </c>
      <c r="F17" s="38">
        <f t="shared" si="3"/>
        <v>1.04375</v>
      </c>
      <c r="G17" s="38" t="str">
        <f t="shared" si="3"/>
        <v/>
      </c>
      <c r="H17" s="38" t="str">
        <f t="shared" si="3"/>
        <v/>
      </c>
      <c r="I17" s="38" t="str">
        <f t="shared" si="3"/>
        <v/>
      </c>
      <c r="J17" s="38" t="str">
        <f t="shared" si="3"/>
        <v/>
      </c>
      <c r="K17" s="38" t="str">
        <f t="shared" si="3"/>
        <v/>
      </c>
      <c r="L17" s="38" t="str">
        <f t="shared" si="3"/>
        <v/>
      </c>
      <c r="M17" s="38" t="str">
        <f t="shared" si="3"/>
        <v/>
      </c>
      <c r="N17" s="38" t="str">
        <f t="shared" si="3"/>
        <v/>
      </c>
      <c r="O17" s="38" t="str">
        <f t="shared" si="3"/>
        <v/>
      </c>
      <c r="P17" s="39">
        <f>INDEX(D17:O17,THANG_BC)</f>
        <v>1.04375</v>
      </c>
      <c r="Q17" s="40" t="str">
        <f>IF(P17="","Chưa có số",IF(P17&gt;=1,"Đạt",IF(P17&gt;=0.8,"Gần đạt","Chưa đạt")))</f>
        <v>Đạt</v>
      </c>
    </row>
    <row r="19" spans="1:17" x14ac:dyDescent="0.35">
      <c r="A19" s="49" t="s">
        <v>111</v>
      </c>
      <c r="B19" s="47"/>
      <c r="C19" s="47"/>
    </row>
    <row r="20" spans="1:17" ht="32" customHeight="1" x14ac:dyDescent="0.35">
      <c r="A20" s="24" t="s">
        <v>97</v>
      </c>
      <c r="B20" s="24" t="s">
        <v>105</v>
      </c>
      <c r="C20" s="24" t="s">
        <v>73</v>
      </c>
    </row>
    <row r="21" spans="1:17" x14ac:dyDescent="0.35">
      <c r="A21" s="7" t="str">
        <f>A6</f>
        <v>Độ phủ kênh MT</v>
      </c>
      <c r="B21" s="38">
        <f>P8</f>
        <v>1.0142857142857142</v>
      </c>
      <c r="C21" s="41" t="str">
        <f>Q8</f>
        <v>Đạt</v>
      </c>
    </row>
    <row r="22" spans="1:17" x14ac:dyDescent="0.35">
      <c r="A22" s="7" t="str">
        <f>A9</f>
        <v>Điểm đạt chuẩn trưng bày</v>
      </c>
      <c r="B22" s="38">
        <f>P11</f>
        <v>0.77499999999999991</v>
      </c>
      <c r="C22" s="41" t="str">
        <f>Q11</f>
        <v>Chưa đạt</v>
      </c>
    </row>
    <row r="23" spans="1:17" x14ac:dyDescent="0.35">
      <c r="A23" s="7" t="str">
        <f>A12</f>
        <v>Số buổi sampling</v>
      </c>
      <c r="B23" s="38">
        <f>P14</f>
        <v>0.875</v>
      </c>
      <c r="C23" s="41" t="str">
        <f>Q14</f>
        <v>Gần đạt</v>
      </c>
    </row>
    <row r="24" spans="1:17" x14ac:dyDescent="0.35">
      <c r="A24" s="7" t="str">
        <f>A15</f>
        <v>Sell-out</v>
      </c>
      <c r="B24" s="38">
        <f>P17</f>
        <v>1.04375</v>
      </c>
      <c r="C24" s="41" t="str">
        <f>Q17</f>
        <v>Đạt</v>
      </c>
    </row>
    <row r="25" spans="1:17" x14ac:dyDescent="0.35">
      <c r="A25" s="42" t="s">
        <v>112</v>
      </c>
      <c r="B25" s="43" t="str">
        <f>COUNTIF(C21:C24,"Đạt")&amp;"/"&amp;COUNTIF(A21:A24,"?*")</f>
        <v>2/4</v>
      </c>
    </row>
    <row r="35" spans="1:54" x14ac:dyDescent="0.35">
      <c r="A35" s="49" t="str">
        <f>"NHẬN XÉT THÁNG "&amp;THANG_BC</f>
        <v>NHẬN XÉT THÁNG 3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</row>
    <row r="36" spans="1:54" ht="30" customHeight="1" x14ac:dyDescent="0.35">
      <c r="A36" s="61" t="s">
        <v>113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3"/>
      <c r="AO36" t="s">
        <v>113</v>
      </c>
    </row>
    <row r="37" spans="1:54" ht="30" customHeight="1" x14ac:dyDescent="0.35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6"/>
    </row>
    <row r="39" spans="1:54" x14ac:dyDescent="0.35">
      <c r="A39" s="49" t="s">
        <v>114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</row>
    <row r="40" spans="1:54" x14ac:dyDescent="0.35">
      <c r="A40" s="59" t="s">
        <v>115</v>
      </c>
      <c r="B40" s="60"/>
      <c r="C40" s="60"/>
      <c r="D40" s="60"/>
      <c r="E40" s="60"/>
      <c r="F40" s="60"/>
      <c r="G40" s="60"/>
      <c r="H40" s="60"/>
      <c r="I40" s="60"/>
      <c r="J40" s="57"/>
      <c r="K40" s="59" t="s">
        <v>116</v>
      </c>
      <c r="L40" s="60"/>
      <c r="M40" s="57"/>
      <c r="N40" s="56">
        <v>46466</v>
      </c>
      <c r="O40" s="57"/>
      <c r="AO40" t="s">
        <v>115</v>
      </c>
      <c r="AY40" t="s">
        <v>116</v>
      </c>
      <c r="BB40" s="14">
        <v>46466</v>
      </c>
    </row>
    <row r="41" spans="1:54" x14ac:dyDescent="0.35">
      <c r="A41" s="59" t="s">
        <v>117</v>
      </c>
      <c r="B41" s="60"/>
      <c r="C41" s="60"/>
      <c r="D41" s="60"/>
      <c r="E41" s="60"/>
      <c r="F41" s="60"/>
      <c r="G41" s="60"/>
      <c r="H41" s="60"/>
      <c r="I41" s="60"/>
      <c r="J41" s="57"/>
      <c r="K41" s="59" t="s">
        <v>118</v>
      </c>
      <c r="L41" s="60"/>
      <c r="M41" s="57"/>
      <c r="N41" s="56">
        <v>46468</v>
      </c>
      <c r="O41" s="57"/>
      <c r="AO41" t="s">
        <v>117</v>
      </c>
      <c r="AY41" t="s">
        <v>118</v>
      </c>
      <c r="BB41" s="14">
        <v>46468</v>
      </c>
    </row>
    <row r="42" spans="1:54" x14ac:dyDescent="0.35">
      <c r="A42" s="59" t="s">
        <v>119</v>
      </c>
      <c r="B42" s="60"/>
      <c r="C42" s="60"/>
      <c r="D42" s="60"/>
      <c r="E42" s="60"/>
      <c r="F42" s="60"/>
      <c r="G42" s="60"/>
      <c r="H42" s="60"/>
      <c r="I42" s="60"/>
      <c r="J42" s="57"/>
      <c r="K42" s="59" t="s">
        <v>118</v>
      </c>
      <c r="L42" s="60"/>
      <c r="M42" s="57"/>
      <c r="N42" s="56">
        <v>46464</v>
      </c>
      <c r="O42" s="57"/>
      <c r="AO42" t="s">
        <v>119</v>
      </c>
      <c r="AY42" t="s">
        <v>118</v>
      </c>
      <c r="BB42" s="14">
        <v>46464</v>
      </c>
    </row>
    <row r="43" spans="1:54" x14ac:dyDescent="0.35">
      <c r="A43" s="59" t="s">
        <v>120</v>
      </c>
      <c r="B43" s="60"/>
      <c r="C43" s="60"/>
      <c r="D43" s="60"/>
      <c r="E43" s="60"/>
      <c r="F43" s="60"/>
      <c r="G43" s="60"/>
      <c r="H43" s="60"/>
      <c r="I43" s="60"/>
      <c r="J43" s="57"/>
      <c r="K43" s="59" t="s">
        <v>118</v>
      </c>
      <c r="L43" s="60"/>
      <c r="M43" s="57"/>
      <c r="N43" s="56">
        <v>46482</v>
      </c>
      <c r="O43" s="57"/>
      <c r="AO43" t="s">
        <v>120</v>
      </c>
      <c r="AY43" t="s">
        <v>118</v>
      </c>
      <c r="BB43" s="14">
        <v>46482</v>
      </c>
    </row>
    <row r="44" spans="1:54" x14ac:dyDescent="0.35">
      <c r="A44" s="59"/>
      <c r="B44" s="60"/>
      <c r="C44" s="60"/>
      <c r="D44" s="60"/>
      <c r="E44" s="60"/>
      <c r="F44" s="60"/>
      <c r="G44" s="60"/>
      <c r="H44" s="60"/>
      <c r="I44" s="60"/>
      <c r="J44" s="57"/>
      <c r="K44" s="59"/>
      <c r="L44" s="60"/>
      <c r="M44" s="57"/>
      <c r="N44" s="56"/>
      <c r="O44" s="57"/>
    </row>
    <row r="46" spans="1:54" x14ac:dyDescent="0.35">
      <c r="A46" s="20" t="s">
        <v>45</v>
      </c>
    </row>
  </sheetData>
  <sheetProtection sheet="1" formatCells="0" formatColumns="0" formatRows="0" insertRows="0" deleteRows="0"/>
  <mergeCells count="27">
    <mergeCell ref="A44:J44"/>
    <mergeCell ref="N43:O43"/>
    <mergeCell ref="K42:M42"/>
    <mergeCell ref="A40:J40"/>
    <mergeCell ref="N42:O42"/>
    <mergeCell ref="K40:M40"/>
    <mergeCell ref="B15:B17"/>
    <mergeCell ref="N41:O41"/>
    <mergeCell ref="A43:J43"/>
    <mergeCell ref="K43:M43"/>
    <mergeCell ref="A15:A17"/>
    <mergeCell ref="A9:A11"/>
    <mergeCell ref="A19:C19"/>
    <mergeCell ref="N44:O44"/>
    <mergeCell ref="B12:B14"/>
    <mergeCell ref="A6:A8"/>
    <mergeCell ref="A41:J41"/>
    <mergeCell ref="N40:O40"/>
    <mergeCell ref="A35:Q35"/>
    <mergeCell ref="B9:B11"/>
    <mergeCell ref="A36:Q37"/>
    <mergeCell ref="A42:J42"/>
    <mergeCell ref="B6:B8"/>
    <mergeCell ref="K41:M41"/>
    <mergeCell ref="A12:A14"/>
    <mergeCell ref="K44:M44"/>
    <mergeCell ref="A39:Q39"/>
  </mergeCells>
  <conditionalFormatting sqref="A36">
    <cfRule type="expression" dxfId="26" priority="28">
      <formula>AND(A36&lt;&gt;"",AO36&lt;&gt;"",A36=AO36)</formula>
    </cfRule>
  </conditionalFormatting>
  <conditionalFormatting sqref="A40:A44">
    <cfRule type="expression" dxfId="25" priority="29">
      <formula>AND(A40&lt;&gt;"",AO40&lt;&gt;"",A40=AO40)</formula>
    </cfRule>
  </conditionalFormatting>
  <conditionalFormatting sqref="C21:C24">
    <cfRule type="expression" dxfId="24" priority="17">
      <formula>C21="Đạt"</formula>
    </cfRule>
    <cfRule type="expression" dxfId="23" priority="18">
      <formula>C21="Gần đạt"</formula>
    </cfRule>
    <cfRule type="expression" dxfId="22" priority="19">
      <formula>C21="Chưa đạt"</formula>
    </cfRule>
  </conditionalFormatting>
  <conditionalFormatting sqref="D5:O5">
    <cfRule type="expression" dxfId="21" priority="16">
      <formula>COLUMN(D5)-3=THANG_BC</formula>
    </cfRule>
  </conditionalFormatting>
  <conditionalFormatting sqref="D6:O7">
    <cfRule type="expression" dxfId="20" priority="20">
      <formula>AND(D6&lt;&gt;"",AR6&lt;&gt;"",D6=AR6)</formula>
    </cfRule>
  </conditionalFormatting>
  <conditionalFormatting sqref="D9:O10">
    <cfRule type="expression" dxfId="19" priority="21">
      <formula>AND(D9&lt;&gt;"",AR9&lt;&gt;"",D9=AR9)</formula>
    </cfRule>
  </conditionalFormatting>
  <conditionalFormatting sqref="D12:O13">
    <cfRule type="expression" dxfId="18" priority="22">
      <formula>AND(D12&lt;&gt;"",AR12&lt;&gt;"",D12=AR12)</formula>
    </cfRule>
  </conditionalFormatting>
  <conditionalFormatting sqref="D15:O16">
    <cfRule type="expression" dxfId="17" priority="23">
      <formula>AND(D15&lt;&gt;"",AR15&lt;&gt;"",D15=AR15)</formula>
    </cfRule>
  </conditionalFormatting>
  <conditionalFormatting sqref="D8:P8">
    <cfRule type="expression" dxfId="16" priority="1">
      <formula>AND(ISNUMBER(D8),D8&gt;=1)</formula>
    </cfRule>
    <cfRule type="expression" dxfId="15" priority="2">
      <formula>AND(ISNUMBER(D8),D8&gt;=0.8,D8&lt;1)</formula>
    </cfRule>
    <cfRule type="expression" dxfId="14" priority="3">
      <formula>AND(ISNUMBER(D8),D8&lt;0.8)</formula>
    </cfRule>
  </conditionalFormatting>
  <conditionalFormatting sqref="D11:P11">
    <cfRule type="expression" dxfId="13" priority="4">
      <formula>AND(ISNUMBER(D11),D11&gt;=1)</formula>
    </cfRule>
    <cfRule type="expression" dxfId="12" priority="5">
      <formula>AND(ISNUMBER(D11),D11&gt;=0.8,D11&lt;1)</formula>
    </cfRule>
    <cfRule type="expression" dxfId="11" priority="6">
      <formula>AND(ISNUMBER(D11),D11&lt;0.8)</formula>
    </cfRule>
  </conditionalFormatting>
  <conditionalFormatting sqref="D14:P14">
    <cfRule type="expression" dxfId="10" priority="7">
      <formula>AND(ISNUMBER(D14),D14&gt;=1)</formula>
    </cfRule>
    <cfRule type="expression" dxfId="9" priority="8">
      <formula>AND(ISNUMBER(D14),D14&gt;=0.8,D14&lt;1)</formula>
    </cfRule>
    <cfRule type="expression" dxfId="8" priority="9">
      <formula>AND(ISNUMBER(D14),D14&lt;0.8)</formula>
    </cfRule>
  </conditionalFormatting>
  <conditionalFormatting sqref="D17:P17">
    <cfRule type="expression" dxfId="7" priority="10">
      <formula>AND(ISNUMBER(D17),D17&gt;=1)</formula>
    </cfRule>
    <cfRule type="expression" dxfId="6" priority="11">
      <formula>AND(ISNUMBER(D17),D17&gt;=0.8,D17&lt;1)</formula>
    </cfRule>
    <cfRule type="expression" dxfId="5" priority="12">
      <formula>AND(ISNUMBER(D17),D17&lt;0.8)</formula>
    </cfRule>
  </conditionalFormatting>
  <conditionalFormatting sqref="K40:K44">
    <cfRule type="expression" dxfId="4" priority="30">
      <formula>AND(K40&lt;&gt;"",AY40&lt;&gt;"",K40=AY40)</formula>
    </cfRule>
  </conditionalFormatting>
  <conditionalFormatting sqref="N40:N44">
    <cfRule type="expression" dxfId="3" priority="31">
      <formula>AND(N40&lt;&gt;"",BB40&lt;&gt;"",N40=BB40)</formula>
    </cfRule>
  </conditionalFormatting>
  <conditionalFormatting sqref="Q6:Q17">
    <cfRule type="expression" dxfId="2" priority="13">
      <formula>Q6="Đạt"</formula>
    </cfRule>
    <cfRule type="expression" dxfId="1" priority="14">
      <formula>Q6="Gần đạt"</formula>
    </cfRule>
    <cfRule type="expression" dxfId="0" priority="15">
      <formula>Q6="Chưa đạt"</formula>
    </cfRule>
  </conditionalFormatting>
  <printOptions horizontalCentered="1"/>
  <pageMargins left="0.4" right="0.4" top="0.5" bottom="0.6" header="0.5" footer="0.5"/>
  <pageSetup paperSize="9" fitToHeight="0" orientation="landscape"/>
  <headerFooter>
    <oddHeader>&amp;L&amp;9 &amp;K808080&amp;A</oddHeader>
    <oddFooter>&amp;C&amp;8 &amp;K808080Mẫu của A.M Agency – amagency.vn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AA3B2"/>
    <pageSetUpPr fitToPage="1"/>
  </sheetPr>
  <dimension ref="A1:I30"/>
  <sheetViews>
    <sheetView zoomScaleNormal="100" workbookViewId="0"/>
  </sheetViews>
  <sheetFormatPr defaultRowHeight="14.5" x14ac:dyDescent="0.35"/>
  <cols>
    <col min="1" max="1" width="8" customWidth="1"/>
    <col min="2" max="2" width="22" customWidth="1"/>
    <col min="3" max="3" width="26" customWidth="1"/>
    <col min="4" max="4" width="15" customWidth="1"/>
    <col min="5" max="5" width="12" customWidth="1"/>
    <col min="6" max="6" width="11" customWidth="1"/>
    <col min="7" max="7" width="17" customWidth="1"/>
    <col min="8" max="8" width="14" customWidth="1"/>
    <col min="9" max="9" width="8" customWidth="1"/>
  </cols>
  <sheetData>
    <row r="1" spans="1:9" ht="28" customHeight="1" x14ac:dyDescent="0.35">
      <c r="A1" s="21" t="s">
        <v>121</v>
      </c>
    </row>
    <row r="2" spans="1:9" x14ac:dyDescent="0.35">
      <c r="A2" s="22" t="s">
        <v>122</v>
      </c>
    </row>
    <row r="4" spans="1:9" x14ac:dyDescent="0.35">
      <c r="A4" s="44" t="s">
        <v>52</v>
      </c>
      <c r="B4" s="44" t="s">
        <v>32</v>
      </c>
      <c r="C4" s="44" t="s">
        <v>123</v>
      </c>
      <c r="D4" s="44" t="s">
        <v>73</v>
      </c>
      <c r="E4" s="44" t="s">
        <v>124</v>
      </c>
      <c r="F4" s="44" t="s">
        <v>125</v>
      </c>
      <c r="G4" s="44" t="s">
        <v>126</v>
      </c>
      <c r="H4" s="44" t="s">
        <v>127</v>
      </c>
      <c r="I4" s="44" t="s">
        <v>92</v>
      </c>
    </row>
    <row r="5" spans="1:9" x14ac:dyDescent="0.35">
      <c r="A5" s="7" t="s">
        <v>76</v>
      </c>
      <c r="B5" s="7" t="s">
        <v>34</v>
      </c>
      <c r="C5" s="7" t="s">
        <v>128</v>
      </c>
      <c r="D5" s="7" t="s">
        <v>85</v>
      </c>
      <c r="E5" s="7" t="s">
        <v>129</v>
      </c>
      <c r="F5" s="7" t="s">
        <v>130</v>
      </c>
      <c r="G5" s="7" t="s">
        <v>131</v>
      </c>
      <c r="H5" s="7" t="s">
        <v>132</v>
      </c>
      <c r="I5" s="7">
        <v>1</v>
      </c>
    </row>
    <row r="6" spans="1:9" x14ac:dyDescent="0.35">
      <c r="A6" s="7" t="s">
        <v>79</v>
      </c>
      <c r="B6" s="7" t="s">
        <v>35</v>
      </c>
      <c r="C6" s="7" t="s">
        <v>133</v>
      </c>
      <c r="D6" s="7" t="s">
        <v>83</v>
      </c>
      <c r="E6" s="7" t="s">
        <v>134</v>
      </c>
      <c r="F6" s="7" t="s">
        <v>135</v>
      </c>
      <c r="G6" s="7" t="s">
        <v>136</v>
      </c>
      <c r="H6" s="7" t="s">
        <v>137</v>
      </c>
      <c r="I6" s="7">
        <v>2</v>
      </c>
    </row>
    <row r="7" spans="1:9" x14ac:dyDescent="0.35">
      <c r="B7" s="7" t="s">
        <v>36</v>
      </c>
      <c r="C7" s="7" t="s">
        <v>138</v>
      </c>
      <c r="D7" s="7" t="s">
        <v>139</v>
      </c>
      <c r="E7" s="7" t="s">
        <v>140</v>
      </c>
      <c r="G7" s="7" t="s">
        <v>141</v>
      </c>
      <c r="I7" s="7">
        <v>3</v>
      </c>
    </row>
    <row r="8" spans="1:9" x14ac:dyDescent="0.35">
      <c r="B8" s="7" t="s">
        <v>37</v>
      </c>
      <c r="C8" s="7" t="s">
        <v>142</v>
      </c>
      <c r="D8" s="7" t="s">
        <v>81</v>
      </c>
      <c r="G8" s="7" t="s">
        <v>143</v>
      </c>
      <c r="I8" s="7">
        <v>4</v>
      </c>
    </row>
    <row r="9" spans="1:9" x14ac:dyDescent="0.35">
      <c r="C9" s="7" t="s">
        <v>144</v>
      </c>
      <c r="D9" s="7" t="s">
        <v>77</v>
      </c>
      <c r="I9" s="7">
        <v>5</v>
      </c>
    </row>
    <row r="10" spans="1:9" x14ac:dyDescent="0.35">
      <c r="C10" s="7" t="s">
        <v>145</v>
      </c>
      <c r="I10" s="7">
        <v>6</v>
      </c>
    </row>
    <row r="11" spans="1:9" x14ac:dyDescent="0.35">
      <c r="C11" s="7" t="s">
        <v>146</v>
      </c>
      <c r="I11" s="7">
        <v>7</v>
      </c>
    </row>
    <row r="12" spans="1:9" x14ac:dyDescent="0.35">
      <c r="I12" s="7">
        <v>8</v>
      </c>
    </row>
    <row r="13" spans="1:9" x14ac:dyDescent="0.35">
      <c r="I13" s="7">
        <v>9</v>
      </c>
    </row>
    <row r="14" spans="1:9" x14ac:dyDescent="0.35">
      <c r="I14" s="7">
        <v>10</v>
      </c>
    </row>
    <row r="15" spans="1:9" x14ac:dyDescent="0.35">
      <c r="I15" s="7">
        <v>11</v>
      </c>
    </row>
    <row r="16" spans="1:9" x14ac:dyDescent="0.35">
      <c r="I16" s="7">
        <v>12</v>
      </c>
    </row>
    <row r="17" spans="1:9" x14ac:dyDescent="0.35">
      <c r="A17" s="49" t="s">
        <v>147</v>
      </c>
      <c r="B17" s="47"/>
      <c r="C17" s="47"/>
      <c r="D17" s="47"/>
      <c r="E17" s="47"/>
      <c r="F17" s="47"/>
      <c r="G17" s="47"/>
      <c r="H17" s="47"/>
      <c r="I17" s="47"/>
    </row>
    <row r="18" spans="1:9" x14ac:dyDescent="0.35">
      <c r="A18" s="67" t="s">
        <v>148</v>
      </c>
      <c r="B18" s="47"/>
      <c r="C18" s="46" t="s">
        <v>149</v>
      </c>
      <c r="D18" s="47"/>
      <c r="E18" s="47"/>
      <c r="F18" s="47"/>
      <c r="G18" s="47"/>
      <c r="H18" s="47"/>
      <c r="I18" s="47"/>
    </row>
    <row r="19" spans="1:9" x14ac:dyDescent="0.35">
      <c r="A19" s="67" t="s">
        <v>150</v>
      </c>
      <c r="B19" s="47"/>
      <c r="C19" s="46" t="s">
        <v>151</v>
      </c>
      <c r="D19" s="47"/>
      <c r="E19" s="47"/>
      <c r="F19" s="47"/>
      <c r="G19" s="47"/>
      <c r="H19" s="47"/>
      <c r="I19" s="47"/>
    </row>
    <row r="20" spans="1:9" x14ac:dyDescent="0.35">
      <c r="A20" s="67" t="s">
        <v>152</v>
      </c>
      <c r="B20" s="47"/>
      <c r="C20" s="46" t="s">
        <v>153</v>
      </c>
      <c r="D20" s="47"/>
      <c r="E20" s="47"/>
      <c r="F20" s="47"/>
      <c r="G20" s="47"/>
      <c r="H20" s="47"/>
      <c r="I20" s="47"/>
    </row>
    <row r="21" spans="1:9" x14ac:dyDescent="0.35">
      <c r="A21" s="67" t="s">
        <v>154</v>
      </c>
      <c r="B21" s="47"/>
      <c r="C21" s="46" t="s">
        <v>155</v>
      </c>
      <c r="D21" s="47"/>
      <c r="E21" s="47"/>
      <c r="F21" s="47"/>
      <c r="G21" s="47"/>
      <c r="H21" s="47"/>
      <c r="I21" s="47"/>
    </row>
    <row r="22" spans="1:9" x14ac:dyDescent="0.35">
      <c r="A22" s="67" t="s">
        <v>109</v>
      </c>
      <c r="B22" s="47"/>
      <c r="C22" s="46" t="s">
        <v>156</v>
      </c>
      <c r="D22" s="47"/>
      <c r="E22" s="47"/>
      <c r="F22" s="47"/>
      <c r="G22" s="47"/>
      <c r="H22" s="47"/>
      <c r="I22" s="47"/>
    </row>
    <row r="23" spans="1:9" x14ac:dyDescent="0.35">
      <c r="A23" s="67" t="s">
        <v>133</v>
      </c>
      <c r="B23" s="47"/>
      <c r="C23" s="46" t="s">
        <v>157</v>
      </c>
      <c r="D23" s="47"/>
      <c r="E23" s="47"/>
      <c r="F23" s="47"/>
      <c r="G23" s="47"/>
      <c r="H23" s="47"/>
      <c r="I23" s="47"/>
    </row>
    <row r="24" spans="1:9" x14ac:dyDescent="0.35">
      <c r="A24" s="67" t="s">
        <v>158</v>
      </c>
      <c r="B24" s="47"/>
      <c r="C24" s="46" t="s">
        <v>159</v>
      </c>
      <c r="D24" s="47"/>
      <c r="E24" s="47"/>
      <c r="F24" s="47"/>
      <c r="G24" s="47"/>
      <c r="H24" s="47"/>
      <c r="I24" s="47"/>
    </row>
    <row r="25" spans="1:9" x14ac:dyDescent="0.35">
      <c r="A25" s="67" t="s">
        <v>72</v>
      </c>
      <c r="B25" s="47"/>
      <c r="C25" s="46" t="s">
        <v>160</v>
      </c>
      <c r="D25" s="47"/>
      <c r="E25" s="47"/>
      <c r="F25" s="47"/>
      <c r="G25" s="47"/>
      <c r="H25" s="47"/>
      <c r="I25" s="47"/>
    </row>
    <row r="26" spans="1:9" x14ac:dyDescent="0.35">
      <c r="A26" s="67" t="s">
        <v>161</v>
      </c>
      <c r="B26" s="47"/>
      <c r="C26" s="46" t="s">
        <v>162</v>
      </c>
      <c r="D26" s="47"/>
      <c r="E26" s="47"/>
      <c r="F26" s="47"/>
      <c r="G26" s="47"/>
      <c r="H26" s="47"/>
      <c r="I26" s="47"/>
    </row>
    <row r="28" spans="1:9" x14ac:dyDescent="0.35">
      <c r="A28" s="45" t="s">
        <v>163</v>
      </c>
    </row>
    <row r="30" spans="1:9" x14ac:dyDescent="0.35">
      <c r="A30" s="20" t="s">
        <v>45</v>
      </c>
    </row>
  </sheetData>
  <mergeCells count="19">
    <mergeCell ref="C19:I19"/>
    <mergeCell ref="C18:I18"/>
    <mergeCell ref="A25:B25"/>
    <mergeCell ref="A17:I17"/>
    <mergeCell ref="C24:I24"/>
    <mergeCell ref="A18:B18"/>
    <mergeCell ref="A26:B26"/>
    <mergeCell ref="A21:B21"/>
    <mergeCell ref="C26:I26"/>
    <mergeCell ref="C20:I20"/>
    <mergeCell ref="A23:B23"/>
    <mergeCell ref="C25:I25"/>
    <mergeCell ref="A22:B22"/>
    <mergeCell ref="A20:B20"/>
    <mergeCell ref="C22:I22"/>
    <mergeCell ref="A19:B19"/>
    <mergeCell ref="C21:I21"/>
    <mergeCell ref="C23:I23"/>
    <mergeCell ref="A24:B24"/>
  </mergeCells>
  <printOptions horizontalCentered="1"/>
  <pageMargins left="0.4" right="0.4" top="0.5" bottom="0.6" header="0.5" footer="0.5"/>
  <pageSetup paperSize="9" fitToHeight="0" orientation="landscape"/>
  <headerFooter>
    <oddHeader>&amp;L&amp;9 &amp;K808080&amp;A</oddHeader>
    <oddFooter>&amp;C&amp;8 &amp;K808080Mẫu của A.M Agency – amagency.vn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9</vt:i4>
      </vt:variant>
    </vt:vector>
  </HeadingPairs>
  <TitlesOfParts>
    <vt:vector size="13" baseType="lpstr">
      <vt:lpstr>0. Bắt đầu</vt:lpstr>
      <vt:lpstr>1. Lịch &amp; ngân sách</vt:lpstr>
      <vt:lpstr>2. KPI &amp; báo cáo</vt:lpstr>
      <vt:lpstr>Danh mục</vt:lpstr>
      <vt:lpstr>NAM</vt:lpstr>
      <vt:lpstr>NGAY_XEM</vt:lpstr>
      <vt:lpstr>NHAN</vt:lpstr>
      <vt:lpstr>NS_TONG</vt:lpstr>
      <vt:lpstr>'0. Bắt đầu'!Print_Area</vt:lpstr>
      <vt:lpstr>'1. Lịch &amp; ngân sách'!Print_Area</vt:lpstr>
      <vt:lpstr>'2. KPI &amp; báo cáo'!Print_Area</vt:lpstr>
      <vt:lpstr>'Danh mục'!Print_Area</vt:lpstr>
      <vt:lpstr>THANG_BC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Lâm Quốc Hoàng</cp:lastModifiedBy>
  <dcterms:created xsi:type="dcterms:W3CDTF">2026-11-07T18:34:05Z</dcterms:created>
  <dcterms:modified xsi:type="dcterms:W3CDTF">2026-11-08T00:49:43Z</dcterms:modified>
</cp:coreProperties>
</file>